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xl/charts/chart5.xml" ContentType="application/vnd.openxmlformats-officedocument.drawingml.chart+xml"/>
  <Override PartName="/xl/charts/style5.xml" ContentType="application/vnd.ms-office.chartstyle+xml"/>
  <Override PartName="/xl/charts/colors5.xml" ContentType="application/vnd.ms-office.chartcolorstyle+xml"/>
  <Override PartName="/xl/charts/chart6.xml" ContentType="application/vnd.openxmlformats-officedocument.drawingml.chart+xml"/>
  <Override PartName="/xl/charts/style6.xml" ContentType="application/vnd.ms-office.chartstyle+xml"/>
  <Override PartName="/xl/charts/colors6.xml" ContentType="application/vnd.ms-office.chartcolorstyle+xml"/>
  <Override PartName="/xl/charts/chart7.xml" ContentType="application/vnd.openxmlformats-officedocument.drawingml.chart+xml"/>
  <Override PartName="/xl/charts/style7.xml" ContentType="application/vnd.ms-office.chartstyle+xml"/>
  <Override PartName="/xl/charts/colors7.xml" ContentType="application/vnd.ms-office.chartcolorstyle+xml"/>
  <Override PartName="/xl/charts/chart8.xml" ContentType="application/vnd.openxmlformats-officedocument.drawingml.chart+xml"/>
  <Override PartName="/xl/charts/style8.xml" ContentType="application/vnd.ms-office.chartstyle+xml"/>
  <Override PartName="/xl/charts/colors8.xml" ContentType="application/vnd.ms-office.chartcolorstyle+xml"/>
  <Override PartName="/xl/charts/chart9.xml" ContentType="application/vnd.openxmlformats-officedocument.drawingml.chart+xml"/>
  <Override PartName="/xl/charts/style9.xml" ContentType="application/vnd.ms-office.chartstyle+xml"/>
  <Override PartName="/xl/charts/colors9.xml" ContentType="application/vnd.ms-office.chartcolorstyle+xml"/>
  <Override PartName="/xl/charts/chart10.xml" ContentType="application/vnd.openxmlformats-officedocument.drawingml.chart+xml"/>
  <Override PartName="/xl/charts/style10.xml" ContentType="application/vnd.ms-office.chartstyle+xml"/>
  <Override PartName="/xl/charts/colors10.xml" ContentType="application/vnd.ms-office.chartcolorstyle+xml"/>
  <Override PartName="/xl/charts/chart11.xml" ContentType="application/vnd.openxmlformats-officedocument.drawingml.chart+xml"/>
  <Override PartName="/xl/charts/style11.xml" ContentType="application/vnd.ms-office.chartstyle+xml"/>
  <Override PartName="/xl/charts/colors11.xml" ContentType="application/vnd.ms-office.chartcolorstyle+xml"/>
  <Override PartName="/xl/charts/chart12.xml" ContentType="application/vnd.openxmlformats-officedocument.drawingml.chart+xml"/>
  <Override PartName="/xl/charts/style12.xml" ContentType="application/vnd.ms-office.chartstyle+xml"/>
  <Override PartName="/xl/charts/colors12.xml" ContentType="application/vnd.ms-office.chartcolorstyle+xml"/>
  <Override PartName="/xl/charts/chart13.xml" ContentType="application/vnd.openxmlformats-officedocument.drawingml.chart+xml"/>
  <Override PartName="/xl/charts/style13.xml" ContentType="application/vnd.ms-office.chartstyle+xml"/>
  <Override PartName="/xl/charts/colors13.xml" ContentType="application/vnd.ms-office.chartcolorstyle+xml"/>
  <Override PartName="/xl/charts/chart14.xml" ContentType="application/vnd.openxmlformats-officedocument.drawingml.chart+xml"/>
  <Override PartName="/xl/charts/style14.xml" ContentType="application/vnd.ms-office.chartstyle+xml"/>
  <Override PartName="/xl/charts/colors14.xml" ContentType="application/vnd.ms-office.chartcolorstyle+xml"/>
  <Override PartName="/xl/charts/chart15.xml" ContentType="application/vnd.openxmlformats-officedocument.drawingml.chart+xml"/>
  <Override PartName="/xl/charts/style15.xml" ContentType="application/vnd.ms-office.chartstyle+xml"/>
  <Override PartName="/xl/charts/colors15.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94"/>
  <workbookPr filterPrivacy="1"/>
  <xr:revisionPtr revIDLastSave="0" documentId="13_ncr:1_{27E63EF6-F920-47F2-AECB-72E682EBAAD2}" xr6:coauthVersionLast="36" xr6:coauthVersionMax="36" xr10:uidLastSave="{00000000-0000-0000-0000-000000000000}"/>
  <bookViews>
    <workbookView xWindow="0" yWindow="0" windowWidth="22260" windowHeight="12300" xr2:uid="{00000000-000D-0000-FFFF-FFFF00000000}"/>
  </bookViews>
  <sheets>
    <sheet name="Microwave" sheetId="1" r:id="rId1"/>
  </sheets>
  <definedNames>
    <definedName name="solver_adj" localSheetId="0" hidden="1">Microwave!$K$175:$M$175</definedName>
    <definedName name="solver_cvg" localSheetId="0" hidden="1">0.00000001</definedName>
    <definedName name="solver_drv" localSheetId="0" hidden="1">2</definedName>
    <definedName name="solver_eng" localSheetId="0" hidden="1">1</definedName>
    <definedName name="solver_est" localSheetId="0" hidden="1">1</definedName>
    <definedName name="solver_itr" localSheetId="0" hidden="1">2147483647</definedName>
    <definedName name="solver_lhs1" localSheetId="0" hidden="1">Microwave!$M$78:$T$78</definedName>
    <definedName name="solver_lhs2" localSheetId="0" hidden="1">Microwave!$M$78:$T$78</definedName>
    <definedName name="solver_mip" localSheetId="0" hidden="1">2147483647</definedName>
    <definedName name="solver_mni" localSheetId="0" hidden="1">30</definedName>
    <definedName name="solver_mrt" localSheetId="0" hidden="1">0.075</definedName>
    <definedName name="solver_msl" localSheetId="0" hidden="1">1</definedName>
    <definedName name="solver_neg" localSheetId="0" hidden="1">2</definedName>
    <definedName name="solver_nod" localSheetId="0" hidden="1">2147483647</definedName>
    <definedName name="solver_num" localSheetId="0" hidden="1">0</definedName>
    <definedName name="solver_nwt" localSheetId="0" hidden="1">1</definedName>
    <definedName name="solver_opt" localSheetId="0" hidden="1">Microwave!$N$174</definedName>
    <definedName name="solver_pre" localSheetId="0" hidden="1">0.00000001</definedName>
    <definedName name="solver_rbv" localSheetId="0" hidden="1">2</definedName>
    <definedName name="solver_rel1" localSheetId="0" hidden="1">3</definedName>
    <definedName name="solver_rel2" localSheetId="0" hidden="1">3</definedName>
    <definedName name="solver_rhs1" localSheetId="0" hidden="1">Microwave!$A$35</definedName>
    <definedName name="solver_rhs2" localSheetId="0" hidden="1">Microwave!$A$35</definedName>
    <definedName name="solver_rlx" localSheetId="0" hidden="1">2</definedName>
    <definedName name="solver_rsd" localSheetId="0" hidden="1">0</definedName>
    <definedName name="solver_scl" localSheetId="0" hidden="1">1</definedName>
    <definedName name="solver_sho" localSheetId="0" hidden="1">2</definedName>
    <definedName name="solver_ssz" localSheetId="0" hidden="1">100</definedName>
    <definedName name="solver_tim" localSheetId="0" hidden="1">2147483647</definedName>
    <definedName name="solver_tol" localSheetId="0" hidden="1">0.01</definedName>
    <definedName name="solver_typ" localSheetId="0" hidden="1">2</definedName>
    <definedName name="solver_val" localSheetId="0" hidden="1">0</definedName>
    <definedName name="solver_ver" localSheetId="0" hidden="1">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01" i="1" l="1"/>
  <c r="F202" i="1"/>
  <c r="F203" i="1"/>
  <c r="F204" i="1"/>
  <c r="F200" i="1"/>
  <c r="AB166" i="1"/>
  <c r="X165" i="1"/>
  <c r="AB167" i="1"/>
  <c r="AB168" i="1"/>
  <c r="AB169" i="1"/>
  <c r="AB170" i="1"/>
  <c r="AB171" i="1"/>
  <c r="AB172" i="1"/>
  <c r="AB173" i="1"/>
  <c r="AB165" i="1"/>
  <c r="AA173" i="1"/>
  <c r="Z173" i="1"/>
  <c r="Y173" i="1"/>
  <c r="X173" i="1"/>
  <c r="AA172" i="1"/>
  <c r="Z172" i="1"/>
  <c r="Y172" i="1"/>
  <c r="X172" i="1"/>
  <c r="AA171" i="1"/>
  <c r="Z171" i="1"/>
  <c r="Y171" i="1"/>
  <c r="X171" i="1"/>
  <c r="AA170" i="1"/>
  <c r="Z170" i="1"/>
  <c r="Y170" i="1"/>
  <c r="X170" i="1"/>
  <c r="AA169" i="1"/>
  <c r="Z169" i="1"/>
  <c r="Y169" i="1"/>
  <c r="X169" i="1"/>
  <c r="AA168" i="1"/>
  <c r="Z168" i="1"/>
  <c r="Y168" i="1"/>
  <c r="X168" i="1"/>
  <c r="AA167" i="1"/>
  <c r="Z167" i="1"/>
  <c r="Y167" i="1"/>
  <c r="X167" i="1"/>
  <c r="AA166" i="1"/>
  <c r="Z166" i="1"/>
  <c r="Y166" i="1"/>
  <c r="X166" i="1"/>
  <c r="AA165" i="1"/>
  <c r="Z165" i="1"/>
  <c r="Y165" i="1"/>
  <c r="AC165" i="1" l="1"/>
  <c r="W165" i="1" s="1"/>
  <c r="AC166" i="1"/>
  <c r="W166" i="1" s="1"/>
  <c r="AC168" i="1"/>
  <c r="W168" i="1" s="1"/>
  <c r="AC170" i="1"/>
  <c r="W170" i="1" s="1"/>
  <c r="AC173" i="1"/>
  <c r="W173" i="1" s="1"/>
  <c r="AC167" i="1"/>
  <c r="W167" i="1" s="1"/>
  <c r="AC169" i="1"/>
  <c r="W169" i="1" s="1"/>
  <c r="AC171" i="1"/>
  <c r="W171" i="1" s="1"/>
  <c r="AC172" i="1"/>
  <c r="W172" i="1" s="1"/>
  <c r="E221" i="1"/>
  <c r="F221" i="1" s="1"/>
  <c r="AC174" i="1" l="1"/>
  <c r="M70" i="1"/>
  <c r="N70" i="1"/>
  <c r="O70" i="1"/>
  <c r="P70" i="1"/>
  <c r="Q70" i="1"/>
  <c r="R70" i="1"/>
  <c r="S70" i="1"/>
  <c r="T70" i="1"/>
  <c r="M71" i="1"/>
  <c r="N71" i="1"/>
  <c r="O71" i="1"/>
  <c r="P71" i="1"/>
  <c r="Q71" i="1"/>
  <c r="R71" i="1"/>
  <c r="S71" i="1"/>
  <c r="T71" i="1"/>
  <c r="M72" i="1"/>
  <c r="N72" i="1"/>
  <c r="O72" i="1"/>
  <c r="P72" i="1"/>
  <c r="Q72" i="1"/>
  <c r="R72" i="1"/>
  <c r="S72" i="1"/>
  <c r="T72" i="1"/>
  <c r="M73" i="1"/>
  <c r="N73" i="1"/>
  <c r="O73" i="1"/>
  <c r="P73" i="1"/>
  <c r="Q73" i="1"/>
  <c r="R73" i="1"/>
  <c r="S73" i="1"/>
  <c r="T73" i="1"/>
  <c r="M74" i="1"/>
  <c r="N74" i="1"/>
  <c r="O74" i="1"/>
  <c r="P74" i="1"/>
  <c r="Q74" i="1"/>
  <c r="R74" i="1"/>
  <c r="S74" i="1"/>
  <c r="T74" i="1"/>
  <c r="M75" i="1"/>
  <c r="N75" i="1"/>
  <c r="O75" i="1"/>
  <c r="P75" i="1"/>
  <c r="Q75" i="1"/>
  <c r="R75" i="1"/>
  <c r="S75" i="1"/>
  <c r="T75" i="1"/>
  <c r="M76" i="1"/>
  <c r="N76" i="1"/>
  <c r="O76" i="1"/>
  <c r="P76" i="1"/>
  <c r="Q76" i="1"/>
  <c r="R76" i="1"/>
  <c r="S76" i="1"/>
  <c r="T76" i="1"/>
  <c r="M77" i="1"/>
  <c r="N77" i="1"/>
  <c r="O77" i="1"/>
  <c r="P77" i="1"/>
  <c r="Q77" i="1"/>
  <c r="R77" i="1"/>
  <c r="S77" i="1"/>
  <c r="T77" i="1"/>
  <c r="T69" i="1"/>
  <c r="M69" i="1"/>
  <c r="S69" i="1"/>
  <c r="R69" i="1"/>
  <c r="Q69" i="1"/>
  <c r="P69" i="1"/>
  <c r="O69" i="1"/>
  <c r="N69" i="1"/>
  <c r="I69" i="1"/>
  <c r="H69" i="1"/>
  <c r="G69" i="1"/>
  <c r="F69" i="1"/>
  <c r="E69" i="1"/>
  <c r="D69" i="1"/>
  <c r="C69" i="1"/>
  <c r="C70" i="1"/>
  <c r="D70" i="1"/>
  <c r="E70" i="1"/>
  <c r="F70" i="1"/>
  <c r="G70" i="1"/>
  <c r="H70" i="1"/>
  <c r="I70" i="1"/>
  <c r="C71" i="1"/>
  <c r="D71" i="1"/>
  <c r="E71" i="1"/>
  <c r="F71" i="1"/>
  <c r="G71" i="1"/>
  <c r="H71" i="1"/>
  <c r="I71" i="1"/>
  <c r="C72" i="1"/>
  <c r="D72" i="1"/>
  <c r="E72" i="1"/>
  <c r="F72" i="1"/>
  <c r="G72" i="1"/>
  <c r="H72" i="1"/>
  <c r="I72" i="1"/>
  <c r="C73" i="1"/>
  <c r="D73" i="1"/>
  <c r="E73" i="1"/>
  <c r="F73" i="1"/>
  <c r="G73" i="1"/>
  <c r="H73" i="1"/>
  <c r="I73" i="1"/>
  <c r="C74" i="1"/>
  <c r="D74" i="1"/>
  <c r="E74" i="1"/>
  <c r="F74" i="1"/>
  <c r="G74" i="1"/>
  <c r="H74" i="1"/>
  <c r="I74" i="1"/>
  <c r="C75" i="1"/>
  <c r="D75" i="1"/>
  <c r="E75" i="1"/>
  <c r="F75" i="1"/>
  <c r="G75" i="1"/>
  <c r="H75" i="1"/>
  <c r="I75" i="1"/>
  <c r="C76" i="1"/>
  <c r="D76" i="1"/>
  <c r="E76" i="1"/>
  <c r="F76" i="1"/>
  <c r="G76" i="1"/>
  <c r="H76" i="1"/>
  <c r="I76" i="1"/>
  <c r="C77" i="1"/>
  <c r="D77" i="1"/>
  <c r="E77" i="1"/>
  <c r="F77" i="1"/>
  <c r="G77" i="1"/>
  <c r="H77" i="1"/>
  <c r="I77" i="1"/>
  <c r="U69" i="1" l="1"/>
  <c r="U75" i="1"/>
  <c r="L75" i="1" s="1"/>
  <c r="U77" i="1"/>
  <c r="L77" i="1" s="1"/>
  <c r="U73" i="1"/>
  <c r="L73" i="1" s="1"/>
  <c r="U71" i="1"/>
  <c r="L71" i="1" s="1"/>
  <c r="U72" i="1"/>
  <c r="L72" i="1" s="1"/>
  <c r="U70" i="1"/>
  <c r="L70" i="1" s="1"/>
  <c r="U76" i="1"/>
  <c r="L76" i="1" s="1"/>
  <c r="U74" i="1"/>
  <c r="L74" i="1" s="1"/>
  <c r="J69" i="1"/>
  <c r="J77" i="1"/>
  <c r="B77" i="1" s="1"/>
  <c r="J76" i="1"/>
  <c r="B76" i="1" s="1"/>
  <c r="J74" i="1"/>
  <c r="B74" i="1" s="1"/>
  <c r="J72" i="1"/>
  <c r="B72" i="1" s="1"/>
  <c r="J70" i="1"/>
  <c r="B70" i="1" s="1"/>
  <c r="J75" i="1"/>
  <c r="B75" i="1" s="1"/>
  <c r="J73" i="1"/>
  <c r="B73" i="1" s="1"/>
  <c r="J71" i="1"/>
  <c r="A97" i="1"/>
  <c r="A98" i="1"/>
  <c r="A99" i="1"/>
  <c r="A54" i="1"/>
  <c r="O54" i="1" s="1"/>
  <c r="A55" i="1"/>
  <c r="N55" i="1" s="1"/>
  <c r="A56" i="1"/>
  <c r="M56" i="1" s="1"/>
  <c r="A57" i="1"/>
  <c r="L57" i="1" s="1"/>
  <c r="A58" i="1"/>
  <c r="O58" i="1" s="1"/>
  <c r="A59" i="1"/>
  <c r="N59" i="1" s="1"/>
  <c r="A60" i="1"/>
  <c r="M60" i="1" s="1"/>
  <c r="A61" i="1"/>
  <c r="L61" i="1" s="1"/>
  <c r="A53" i="1"/>
  <c r="P53" i="1" s="1"/>
  <c r="E55" i="1" l="1"/>
  <c r="P56" i="1"/>
  <c r="M59" i="1"/>
  <c r="D53" i="1"/>
  <c r="H99" i="1"/>
  <c r="G61" i="1"/>
  <c r="O53" i="1"/>
  <c r="O61" i="1"/>
  <c r="H98" i="1"/>
  <c r="E59" i="1"/>
  <c r="M55" i="1"/>
  <c r="H97" i="1"/>
  <c r="G57" i="1"/>
  <c r="O57" i="1"/>
  <c r="U78" i="1"/>
  <c r="U79" i="1" s="1"/>
  <c r="L69" i="1"/>
  <c r="B69" i="1"/>
  <c r="J78" i="1"/>
  <c r="J79" i="1" s="1"/>
  <c r="B71" i="1"/>
  <c r="C61" i="1"/>
  <c r="C57" i="1"/>
  <c r="N54" i="1"/>
  <c r="N58" i="1"/>
  <c r="P61" i="1"/>
  <c r="P57" i="1"/>
  <c r="P60" i="1"/>
  <c r="F58" i="1"/>
  <c r="F54" i="1"/>
  <c r="K57" i="1"/>
  <c r="K61" i="1"/>
  <c r="P59" i="1"/>
  <c r="P55" i="1"/>
  <c r="P58" i="1"/>
  <c r="P54" i="1"/>
  <c r="K53" i="1"/>
  <c r="L56" i="1"/>
  <c r="F53" i="1"/>
  <c r="E61" i="1"/>
  <c r="F60" i="1"/>
  <c r="G59" i="1"/>
  <c r="C59" i="1"/>
  <c r="D58" i="1"/>
  <c r="E57" i="1"/>
  <c r="F56" i="1"/>
  <c r="G55" i="1"/>
  <c r="C55" i="1"/>
  <c r="D54" i="1"/>
  <c r="M53" i="1"/>
  <c r="L54" i="1"/>
  <c r="K55" i="1"/>
  <c r="O55" i="1"/>
  <c r="N56" i="1"/>
  <c r="M57" i="1"/>
  <c r="L58" i="1"/>
  <c r="K59" i="1"/>
  <c r="O59" i="1"/>
  <c r="N60" i="1"/>
  <c r="M61" i="1"/>
  <c r="D56" i="1"/>
  <c r="C53" i="1"/>
  <c r="G53" i="1"/>
  <c r="D61" i="1"/>
  <c r="E60" i="1"/>
  <c r="F59" i="1"/>
  <c r="G58" i="1"/>
  <c r="C58" i="1"/>
  <c r="D57" i="1"/>
  <c r="E56" i="1"/>
  <c r="F55" i="1"/>
  <c r="G54" i="1"/>
  <c r="C54" i="1"/>
  <c r="N53" i="1"/>
  <c r="M54" i="1"/>
  <c r="L55" i="1"/>
  <c r="K56" i="1"/>
  <c r="O56" i="1"/>
  <c r="N57" i="1"/>
  <c r="M58" i="1"/>
  <c r="L59" i="1"/>
  <c r="K60" i="1"/>
  <c r="O60" i="1"/>
  <c r="N61" i="1"/>
  <c r="D60" i="1"/>
  <c r="L60" i="1"/>
  <c r="E53" i="1"/>
  <c r="F61" i="1"/>
  <c r="G60" i="1"/>
  <c r="C60" i="1"/>
  <c r="D59" i="1"/>
  <c r="E58" i="1"/>
  <c r="F57" i="1"/>
  <c r="G56" i="1"/>
  <c r="C56" i="1"/>
  <c r="D55" i="1"/>
  <c r="E54" i="1"/>
  <c r="L53" i="1"/>
  <c r="K54" i="1"/>
  <c r="K58" i="1"/>
  <c r="I222" i="1"/>
  <c r="J222" i="1" s="1"/>
  <c r="I223" i="1"/>
  <c r="J223" i="1" s="1"/>
  <c r="I224" i="1"/>
  <c r="J224" i="1" s="1"/>
  <c r="I225" i="1"/>
  <c r="J225" i="1" s="1"/>
  <c r="I226" i="1"/>
  <c r="J226" i="1" s="1"/>
  <c r="I227" i="1"/>
  <c r="J227" i="1" s="1"/>
  <c r="I228" i="1"/>
  <c r="J228" i="1" s="1"/>
  <c r="I229" i="1"/>
  <c r="J229" i="1" s="1"/>
  <c r="I221" i="1"/>
  <c r="J221" i="1" s="1"/>
  <c r="E222" i="1"/>
  <c r="F222" i="1" s="1"/>
  <c r="E223" i="1"/>
  <c r="F223" i="1" s="1"/>
  <c r="E224" i="1"/>
  <c r="F224" i="1" s="1"/>
  <c r="E225" i="1"/>
  <c r="F225" i="1" s="1"/>
  <c r="E226" i="1"/>
  <c r="F226" i="1" s="1"/>
  <c r="E227" i="1"/>
  <c r="F227" i="1" s="1"/>
  <c r="E228" i="1"/>
  <c r="F228" i="1" s="1"/>
  <c r="E229" i="1"/>
  <c r="F229" i="1" s="1"/>
  <c r="H53" i="1" l="1"/>
  <c r="B53" i="1" s="1"/>
  <c r="H61" i="1"/>
  <c r="B61" i="1" s="1"/>
  <c r="H58" i="1"/>
  <c r="B58" i="1" s="1"/>
  <c r="H55" i="1"/>
  <c r="B55" i="1" s="1"/>
  <c r="H56" i="1"/>
  <c r="B56" i="1" s="1"/>
  <c r="H59" i="1"/>
  <c r="B59" i="1" s="1"/>
  <c r="H54" i="1"/>
  <c r="B54" i="1" s="1"/>
  <c r="H57" i="1"/>
  <c r="B57" i="1" s="1"/>
  <c r="H60" i="1"/>
  <c r="B60" i="1" s="1"/>
  <c r="Q57" i="1"/>
  <c r="J57" i="1" s="1"/>
  <c r="Q53" i="1"/>
  <c r="J53" i="1" s="1"/>
  <c r="Q58" i="1"/>
  <c r="J58" i="1" s="1"/>
  <c r="Q60" i="1"/>
  <c r="J60" i="1" s="1"/>
  <c r="Q54" i="1"/>
  <c r="J54" i="1" s="1"/>
  <c r="Q61" i="1"/>
  <c r="J61" i="1" s="1"/>
  <c r="Q55" i="1"/>
  <c r="Q56" i="1"/>
  <c r="J56" i="1" s="1"/>
  <c r="Q59" i="1"/>
  <c r="J59" i="1" s="1"/>
  <c r="C23" i="1"/>
  <c r="C22" i="1"/>
  <c r="C21" i="1"/>
  <c r="B21" i="1"/>
  <c r="B23" i="1"/>
  <c r="B22" i="1"/>
  <c r="A23" i="1"/>
  <c r="A22" i="1"/>
  <c r="A21" i="1"/>
  <c r="A20" i="1"/>
  <c r="H62" i="1" l="1"/>
  <c r="H63" i="1" s="1"/>
  <c r="J55" i="1"/>
  <c r="Q62" i="1"/>
  <c r="Q63" i="1" s="1"/>
  <c r="F147" i="1"/>
  <c r="Q222" i="1" l="1"/>
  <c r="Q223" i="1"/>
  <c r="R223" i="1" s="1"/>
  <c r="Q224" i="1"/>
  <c r="R224" i="1" s="1"/>
  <c r="Q225" i="1"/>
  <c r="Q226" i="1"/>
  <c r="Q227" i="1"/>
  <c r="R227" i="1" s="1"/>
  <c r="Q228" i="1"/>
  <c r="Q229" i="1"/>
  <c r="Q221" i="1"/>
  <c r="R221" i="1" l="1"/>
  <c r="S221" i="1" s="1"/>
  <c r="R226" i="1"/>
  <c r="S226" i="1" s="1"/>
  <c r="R222" i="1"/>
  <c r="S222" i="1" s="1"/>
  <c r="R229" i="1"/>
  <c r="S229" i="1" s="1"/>
  <c r="R225" i="1"/>
  <c r="S225" i="1" s="1"/>
  <c r="R228" i="1"/>
  <c r="S228" i="1" s="1"/>
  <c r="S227" i="1"/>
  <c r="S223" i="1"/>
  <c r="S224" i="1"/>
  <c r="M222" i="1"/>
  <c r="M223" i="1"/>
  <c r="M224" i="1"/>
  <c r="M225" i="1"/>
  <c r="M226" i="1"/>
  <c r="M227" i="1"/>
  <c r="M228" i="1"/>
  <c r="M229" i="1"/>
  <c r="M221" i="1"/>
  <c r="K222" i="1"/>
  <c r="K223" i="1"/>
  <c r="K224" i="1"/>
  <c r="K225" i="1"/>
  <c r="K226" i="1"/>
  <c r="K227" i="1"/>
  <c r="K228" i="1"/>
  <c r="K229" i="1"/>
  <c r="K221" i="1"/>
  <c r="G210" i="1"/>
  <c r="G211" i="1"/>
  <c r="G212" i="1"/>
  <c r="G209" i="1"/>
  <c r="G222" i="1"/>
  <c r="G223" i="1"/>
  <c r="G224" i="1"/>
  <c r="G225" i="1"/>
  <c r="G226" i="1"/>
  <c r="G227" i="1"/>
  <c r="G228" i="1"/>
  <c r="G229" i="1"/>
  <c r="G221" i="1"/>
  <c r="C211" i="1"/>
  <c r="A212" i="1"/>
  <c r="A211" i="1"/>
  <c r="A210" i="1"/>
  <c r="C212" i="1"/>
  <c r="A209" i="1"/>
  <c r="C210" i="1"/>
  <c r="N226" i="1" l="1"/>
  <c r="O226" i="1" s="1"/>
  <c r="N222" i="1"/>
  <c r="O222" i="1" s="1"/>
  <c r="N225" i="1"/>
  <c r="O225" i="1" s="1"/>
  <c r="N229" i="1"/>
  <c r="O229" i="1" s="1"/>
  <c r="N228" i="1"/>
  <c r="O228" i="1" s="1"/>
  <c r="N224" i="1"/>
  <c r="O224" i="1" s="1"/>
  <c r="N221" i="1"/>
  <c r="O221" i="1" s="1"/>
  <c r="N227" i="1"/>
  <c r="O227" i="1" s="1"/>
  <c r="N223" i="1"/>
  <c r="O223" i="1" s="1"/>
  <c r="E211" i="1"/>
  <c r="H211" i="1"/>
  <c r="I211" i="1" s="1"/>
  <c r="D212" i="1"/>
  <c r="H212" i="1"/>
  <c r="I212" i="1" s="1"/>
  <c r="H210" i="1"/>
  <c r="I210" i="1" s="1"/>
  <c r="D210" i="1"/>
  <c r="H209" i="1"/>
  <c r="I209" i="1" s="1"/>
  <c r="S230" i="1"/>
  <c r="S231" i="1" s="1"/>
  <c r="K230" i="1"/>
  <c r="K231" i="1" s="1"/>
  <c r="D211" i="1"/>
  <c r="G230" i="1"/>
  <c r="G231" i="1" s="1"/>
  <c r="E212" i="1"/>
  <c r="E210" i="1"/>
  <c r="C209" i="1"/>
  <c r="T166" i="1"/>
  <c r="T167" i="1"/>
  <c r="T168" i="1"/>
  <c r="T169" i="1"/>
  <c r="T170" i="1"/>
  <c r="T171" i="1"/>
  <c r="T172" i="1"/>
  <c r="T173" i="1"/>
  <c r="T165" i="1"/>
  <c r="S176" i="1"/>
  <c r="R176" i="1"/>
  <c r="Q176" i="1"/>
  <c r="S173" i="1"/>
  <c r="R173" i="1"/>
  <c r="Q173" i="1"/>
  <c r="S172" i="1"/>
  <c r="R172" i="1"/>
  <c r="Q172" i="1"/>
  <c r="S171" i="1"/>
  <c r="R171" i="1"/>
  <c r="Q171" i="1"/>
  <c r="S170" i="1"/>
  <c r="R170" i="1"/>
  <c r="Q170" i="1"/>
  <c r="S169" i="1"/>
  <c r="R169" i="1"/>
  <c r="Q169" i="1"/>
  <c r="S168" i="1"/>
  <c r="R168" i="1"/>
  <c r="Q168" i="1"/>
  <c r="S167" i="1"/>
  <c r="R167" i="1"/>
  <c r="Q167" i="1"/>
  <c r="S166" i="1"/>
  <c r="R166" i="1"/>
  <c r="Q166" i="1"/>
  <c r="S165" i="1"/>
  <c r="R165" i="1"/>
  <c r="Q165" i="1"/>
  <c r="K166" i="1"/>
  <c r="L166" i="1"/>
  <c r="M166" i="1"/>
  <c r="K167" i="1"/>
  <c r="L167" i="1"/>
  <c r="M167" i="1"/>
  <c r="K168" i="1"/>
  <c r="L168" i="1"/>
  <c r="M168" i="1"/>
  <c r="K169" i="1"/>
  <c r="L169" i="1"/>
  <c r="M169" i="1"/>
  <c r="K170" i="1"/>
  <c r="L170" i="1"/>
  <c r="M170" i="1"/>
  <c r="K171" i="1"/>
  <c r="L171" i="1"/>
  <c r="M171" i="1"/>
  <c r="K172" i="1"/>
  <c r="L172" i="1"/>
  <c r="M172" i="1"/>
  <c r="K173" i="1"/>
  <c r="L173" i="1"/>
  <c r="M173" i="1"/>
  <c r="M165" i="1"/>
  <c r="L165" i="1"/>
  <c r="K165" i="1"/>
  <c r="F166" i="1"/>
  <c r="G166" i="1"/>
  <c r="F167" i="1"/>
  <c r="G167" i="1"/>
  <c r="F168" i="1"/>
  <c r="G168" i="1"/>
  <c r="F169" i="1"/>
  <c r="G169" i="1"/>
  <c r="F170" i="1"/>
  <c r="G170" i="1"/>
  <c r="F171" i="1"/>
  <c r="G171" i="1"/>
  <c r="F172" i="1"/>
  <c r="G172" i="1"/>
  <c r="F173" i="1"/>
  <c r="G173" i="1"/>
  <c r="G165" i="1"/>
  <c r="F165" i="1"/>
  <c r="F176" i="1"/>
  <c r="B175" i="1"/>
  <c r="B169" i="1" s="1"/>
  <c r="C169" i="1" s="1"/>
  <c r="F146" i="1"/>
  <c r="C137" i="1"/>
  <c r="F137" i="1" s="1"/>
  <c r="C138" i="1"/>
  <c r="F138" i="1" s="1"/>
  <c r="C139" i="1"/>
  <c r="F139" i="1" s="1"/>
  <c r="C140" i="1"/>
  <c r="F140" i="1" s="1"/>
  <c r="C141" i="1"/>
  <c r="F141" i="1" s="1"/>
  <c r="C142" i="1"/>
  <c r="F142" i="1" s="1"/>
  <c r="C143" i="1"/>
  <c r="F143" i="1" s="1"/>
  <c r="C144" i="1"/>
  <c r="F144" i="1" s="1"/>
  <c r="C136" i="1"/>
  <c r="F136" i="1" s="1"/>
  <c r="A137" i="1"/>
  <c r="A138" i="1"/>
  <c r="A139" i="1"/>
  <c r="A140" i="1"/>
  <c r="A141" i="1"/>
  <c r="A142" i="1"/>
  <c r="A143" i="1"/>
  <c r="A144" i="1"/>
  <c r="A136" i="1"/>
  <c r="A96" i="1"/>
  <c r="A95" i="1"/>
  <c r="A86" i="1"/>
  <c r="A87" i="1"/>
  <c r="A88" i="1"/>
  <c r="A89" i="1"/>
  <c r="A90" i="1"/>
  <c r="A91" i="1"/>
  <c r="A92" i="1"/>
  <c r="A93" i="1"/>
  <c r="A85" i="1"/>
  <c r="F45" i="1"/>
  <c r="L45" i="1"/>
  <c r="K45" i="1"/>
  <c r="D99" i="1" l="1"/>
  <c r="D98" i="1"/>
  <c r="D97" i="1"/>
  <c r="I213" i="1"/>
  <c r="O230" i="1"/>
  <c r="O231" i="1" s="1"/>
  <c r="D144" i="1"/>
  <c r="D140" i="1"/>
  <c r="D136" i="1"/>
  <c r="D141" i="1"/>
  <c r="D137" i="1"/>
  <c r="B171" i="1"/>
  <c r="C171" i="1" s="1"/>
  <c r="D142" i="1"/>
  <c r="D138" i="1"/>
  <c r="B172" i="1"/>
  <c r="C172" i="1" s="1"/>
  <c r="B168" i="1"/>
  <c r="C168" i="1" s="1"/>
  <c r="B167" i="1"/>
  <c r="C167" i="1" s="1"/>
  <c r="B165" i="1"/>
  <c r="C165" i="1" s="1"/>
  <c r="B170" i="1"/>
  <c r="C170" i="1" s="1"/>
  <c r="B166" i="1"/>
  <c r="C166" i="1" s="1"/>
  <c r="D143" i="1"/>
  <c r="D139" i="1"/>
  <c r="B173" i="1"/>
  <c r="C173" i="1" s="1"/>
  <c r="G140" i="1"/>
  <c r="G144" i="1"/>
  <c r="G136" i="1"/>
  <c r="G141" i="1"/>
  <c r="G137" i="1"/>
  <c r="G142" i="1"/>
  <c r="G138" i="1"/>
  <c r="E209" i="1"/>
  <c r="E213" i="1" s="1"/>
  <c r="D209" i="1"/>
  <c r="U170" i="1"/>
  <c r="P170" i="1" s="1"/>
  <c r="U166" i="1"/>
  <c r="P166" i="1" s="1"/>
  <c r="U165" i="1"/>
  <c r="P165" i="1" s="1"/>
  <c r="U168" i="1"/>
  <c r="P168" i="1" s="1"/>
  <c r="U172" i="1"/>
  <c r="P172" i="1" s="1"/>
  <c r="U173" i="1"/>
  <c r="P173" i="1" s="1"/>
  <c r="U169" i="1"/>
  <c r="P169" i="1" s="1"/>
  <c r="U167" i="1"/>
  <c r="P167" i="1" s="1"/>
  <c r="U171" i="1"/>
  <c r="P171" i="1" s="1"/>
  <c r="N170" i="1"/>
  <c r="J170" i="1" s="1"/>
  <c r="N173" i="1"/>
  <c r="J173" i="1" s="1"/>
  <c r="N169" i="1"/>
  <c r="J169" i="1" s="1"/>
  <c r="N172" i="1"/>
  <c r="J172" i="1" s="1"/>
  <c r="N168" i="1"/>
  <c r="J168" i="1" s="1"/>
  <c r="N171" i="1"/>
  <c r="J171" i="1" s="1"/>
  <c r="N167" i="1"/>
  <c r="J167" i="1" s="1"/>
  <c r="N166" i="1"/>
  <c r="J166" i="1" s="1"/>
  <c r="N165" i="1"/>
  <c r="J165" i="1" s="1"/>
  <c r="H168" i="1"/>
  <c r="E168" i="1" s="1"/>
  <c r="H166" i="1"/>
  <c r="E166" i="1" s="1"/>
  <c r="H167" i="1"/>
  <c r="E167" i="1" s="1"/>
  <c r="H173" i="1"/>
  <c r="E173" i="1" s="1"/>
  <c r="H172" i="1"/>
  <c r="E172" i="1" s="1"/>
  <c r="H171" i="1"/>
  <c r="E171" i="1" s="1"/>
  <c r="H170" i="1"/>
  <c r="E170" i="1" s="1"/>
  <c r="H169" i="1"/>
  <c r="E169" i="1" s="1"/>
  <c r="H165" i="1"/>
  <c r="E165" i="1" s="1"/>
  <c r="G143" i="1"/>
  <c r="G139" i="1"/>
  <c r="A36" i="1"/>
  <c r="A37" i="1"/>
  <c r="A38" i="1"/>
  <c r="A39" i="1"/>
  <c r="A40" i="1"/>
  <c r="A41" i="1"/>
  <c r="A42" i="1"/>
  <c r="A43" i="1"/>
  <c r="A35" i="1"/>
  <c r="C174" i="1" l="1"/>
  <c r="Q35" i="1"/>
  <c r="M35" i="1"/>
  <c r="F35" i="1"/>
  <c r="T35" i="1"/>
  <c r="L35" i="1"/>
  <c r="S35" i="1"/>
  <c r="K35" i="1"/>
  <c r="R35" i="1"/>
  <c r="G35" i="1"/>
  <c r="Q40" i="1"/>
  <c r="M40" i="1"/>
  <c r="F40" i="1"/>
  <c r="R40" i="1"/>
  <c r="L40" i="1"/>
  <c r="S40" i="1"/>
  <c r="K40" i="1"/>
  <c r="K49" i="1"/>
  <c r="T40" i="1"/>
  <c r="G40" i="1"/>
  <c r="Q36" i="1"/>
  <c r="M36" i="1"/>
  <c r="F36" i="1"/>
  <c r="R36" i="1"/>
  <c r="L36" i="1"/>
  <c r="S36" i="1"/>
  <c r="K36" i="1"/>
  <c r="T36" i="1"/>
  <c r="G36" i="1"/>
  <c r="Q43" i="1"/>
  <c r="L43" i="1"/>
  <c r="R43" i="1"/>
  <c r="K43" i="1"/>
  <c r="S43" i="1"/>
  <c r="G43" i="1"/>
  <c r="T43" i="1"/>
  <c r="M43" i="1"/>
  <c r="F43" i="1"/>
  <c r="Q42" i="1"/>
  <c r="K42" i="1"/>
  <c r="R42" i="1"/>
  <c r="G42" i="1"/>
  <c r="S42" i="1"/>
  <c r="M42" i="1"/>
  <c r="F42" i="1"/>
  <c r="T42" i="1"/>
  <c r="L42" i="1"/>
  <c r="Q38" i="1"/>
  <c r="K38" i="1"/>
  <c r="R38" i="1"/>
  <c r="G38" i="1"/>
  <c r="S38" i="1"/>
  <c r="M38" i="1"/>
  <c r="F38" i="1"/>
  <c r="T38" i="1"/>
  <c r="L38" i="1"/>
  <c r="Q41" i="1"/>
  <c r="G41" i="1"/>
  <c r="R41" i="1"/>
  <c r="M41" i="1"/>
  <c r="F41" i="1"/>
  <c r="S41" i="1"/>
  <c r="L41" i="1"/>
  <c r="T41" i="1"/>
  <c r="K41" i="1"/>
  <c r="Q37" i="1"/>
  <c r="G37" i="1"/>
  <c r="R37" i="1"/>
  <c r="M37" i="1"/>
  <c r="F37" i="1"/>
  <c r="S37" i="1"/>
  <c r="L37" i="1"/>
  <c r="T37" i="1"/>
  <c r="K37" i="1"/>
  <c r="Q39" i="1"/>
  <c r="L39" i="1"/>
  <c r="R39" i="1"/>
  <c r="K39" i="1"/>
  <c r="S39" i="1"/>
  <c r="G39" i="1"/>
  <c r="T39" i="1"/>
  <c r="M39" i="1"/>
  <c r="F39" i="1"/>
  <c r="L49" i="1"/>
  <c r="B44" i="1"/>
  <c r="G145" i="1"/>
  <c r="U174" i="1"/>
  <c r="N174" i="1"/>
  <c r="H174" i="1"/>
  <c r="B7" i="1"/>
  <c r="F148" i="1" s="1"/>
  <c r="F97" i="1" l="1"/>
  <c r="F99" i="1"/>
  <c r="F98" i="1"/>
  <c r="H38" i="1"/>
  <c r="E38" i="1" s="1"/>
  <c r="U39" i="1"/>
  <c r="P39" i="1" s="1"/>
  <c r="U37" i="1"/>
  <c r="P37" i="1" s="1"/>
  <c r="U38" i="1"/>
  <c r="P38" i="1" s="1"/>
  <c r="U43" i="1"/>
  <c r="P43" i="1" s="1"/>
  <c r="U40" i="1"/>
  <c r="P40" i="1" s="1"/>
  <c r="U41" i="1"/>
  <c r="P41" i="1" s="1"/>
  <c r="U42" i="1"/>
  <c r="P42" i="1" s="1"/>
  <c r="U36" i="1"/>
  <c r="P36" i="1" s="1"/>
  <c r="U35" i="1"/>
  <c r="H35" i="1"/>
  <c r="N35" i="1"/>
  <c r="J35" i="1" s="1"/>
  <c r="H36" i="1"/>
  <c r="E36" i="1" s="1"/>
  <c r="H37" i="1"/>
  <c r="E37" i="1" s="1"/>
  <c r="H42" i="1"/>
  <c r="E42" i="1" s="1"/>
  <c r="H40" i="1"/>
  <c r="E40" i="1" s="1"/>
  <c r="H43" i="1"/>
  <c r="H41" i="1"/>
  <c r="E41" i="1" s="1"/>
  <c r="N41" i="1"/>
  <c r="J41" i="1" s="1"/>
  <c r="B37" i="1"/>
  <c r="C37" i="1" s="1"/>
  <c r="B41" i="1"/>
  <c r="C41" i="1" s="1"/>
  <c r="B38" i="1"/>
  <c r="C38" i="1" s="1"/>
  <c r="B42" i="1"/>
  <c r="C42" i="1" s="1"/>
  <c r="B39" i="1"/>
  <c r="C39" i="1" s="1"/>
  <c r="B43" i="1"/>
  <c r="C43" i="1" s="1"/>
  <c r="B36" i="1"/>
  <c r="C36" i="1" s="1"/>
  <c r="B40" i="1"/>
  <c r="C40" i="1" s="1"/>
  <c r="B35" i="1"/>
  <c r="C35" i="1" s="1"/>
  <c r="N40" i="1"/>
  <c r="J40" i="1" s="1"/>
  <c r="N37" i="1"/>
  <c r="J37" i="1" s="1"/>
  <c r="N39" i="1"/>
  <c r="J39" i="1" s="1"/>
  <c r="N43" i="1"/>
  <c r="J43" i="1" s="1"/>
  <c r="N36" i="1"/>
  <c r="J36" i="1" s="1"/>
  <c r="H39" i="1"/>
  <c r="E39" i="1" s="1"/>
  <c r="N38" i="1"/>
  <c r="J38" i="1" s="1"/>
  <c r="N42" i="1"/>
  <c r="J42" i="1" s="1"/>
  <c r="P35" i="1" l="1"/>
  <c r="U44" i="1"/>
  <c r="U45" i="1" s="1"/>
  <c r="E35" i="1"/>
  <c r="C44" i="1"/>
  <c r="H44" i="1"/>
  <c r="H45" i="1" s="1"/>
  <c r="E43" i="1"/>
  <c r="N44" i="1"/>
  <c r="N45" i="1" s="1"/>
  <c r="C45"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G231" authorId="0" shapeId="0" xr:uid="{00000000-0006-0000-0000-000001000000}">
      <text>
        <r>
          <rPr>
            <b/>
            <sz val="8"/>
            <color indexed="81"/>
            <rFont val="Tahoma"/>
            <family val="2"/>
          </rPr>
          <t>Author:</t>
        </r>
        <r>
          <rPr>
            <sz val="8"/>
            <color indexed="81"/>
            <rFont val="Tahoma"/>
            <family val="2"/>
          </rPr>
          <t xml:space="preserve">
s; s^2=(sum of squares)/(number of observations - number of parameters)</t>
        </r>
      </text>
    </comment>
    <comment ref="K231" authorId="0" shapeId="0" xr:uid="{00000000-0006-0000-0000-000002000000}">
      <text>
        <r>
          <rPr>
            <b/>
            <sz val="8"/>
            <color indexed="81"/>
            <rFont val="Tahoma"/>
            <family val="2"/>
          </rPr>
          <t>Author:</t>
        </r>
        <r>
          <rPr>
            <sz val="8"/>
            <color indexed="81"/>
            <rFont val="Tahoma"/>
            <family val="2"/>
          </rPr>
          <t xml:space="preserve">
s; s^2=(sum of squares)/(number of observations - number of parameters)</t>
        </r>
      </text>
    </comment>
    <comment ref="O231" authorId="0" shapeId="0" xr:uid="{00000000-0006-0000-0000-000003000000}">
      <text>
        <r>
          <rPr>
            <b/>
            <sz val="8"/>
            <color indexed="81"/>
            <rFont val="Tahoma"/>
            <family val="2"/>
          </rPr>
          <t>Author:</t>
        </r>
        <r>
          <rPr>
            <sz val="8"/>
            <color indexed="81"/>
            <rFont val="Tahoma"/>
            <family val="2"/>
          </rPr>
          <t xml:space="preserve">
s; s^2=(sum of squares)/(number of observations - number of parameters)</t>
        </r>
      </text>
    </comment>
    <comment ref="S231" authorId="0" shapeId="0" xr:uid="{00000000-0006-0000-0000-000004000000}">
      <text>
        <r>
          <rPr>
            <b/>
            <sz val="8"/>
            <color indexed="81"/>
            <rFont val="Tahoma"/>
            <family val="2"/>
          </rPr>
          <t>Author:</t>
        </r>
        <r>
          <rPr>
            <sz val="8"/>
            <color indexed="81"/>
            <rFont val="Tahoma"/>
            <family val="2"/>
          </rPr>
          <t xml:space="preserve">
s; s^2=(sum of squares)/(number of observations - number of parameters)</t>
        </r>
      </text>
    </comment>
  </commentList>
</comments>
</file>

<file path=xl/sharedStrings.xml><?xml version="1.0" encoding="utf-8"?>
<sst xmlns="http://schemas.openxmlformats.org/spreadsheetml/2006/main" count="158" uniqueCount="77">
  <si>
    <t>MHz</t>
  </si>
  <si>
    <t>m</t>
  </si>
  <si>
    <t>nat ab (%)</t>
  </si>
  <si>
    <t>nuc spin</t>
  </si>
  <si>
    <t>133Cs</t>
  </si>
  <si>
    <t>From A. Honig, M. Mandel, M. L. Stitch, C. H. Townes, Phys. Rev., 96, 629-642 (1954)</t>
  </si>
  <si>
    <t>127I</t>
  </si>
  <si>
    <r>
      <rPr>
        <vertAlign val="superscript"/>
        <sz val="11"/>
        <color theme="1"/>
        <rFont val="Calibri"/>
        <family val="2"/>
        <scheme val="minor"/>
      </rPr>
      <t>133</t>
    </r>
    <r>
      <rPr>
        <sz val="11"/>
        <color theme="1"/>
        <rFont val="Calibri"/>
        <family val="2"/>
        <scheme val="minor"/>
      </rPr>
      <t>Cs</t>
    </r>
    <r>
      <rPr>
        <vertAlign val="superscript"/>
        <sz val="11"/>
        <color theme="1"/>
        <rFont val="Calibri"/>
        <family val="2"/>
        <scheme val="minor"/>
      </rPr>
      <t>127</t>
    </r>
    <r>
      <rPr>
        <sz val="11"/>
        <color theme="1"/>
        <rFont val="Calibri"/>
        <family val="2"/>
        <scheme val="minor"/>
      </rPr>
      <t>I</t>
    </r>
  </si>
  <si>
    <r>
      <t>J=15</t>
    </r>
    <r>
      <rPr>
        <sz val="11"/>
        <color theme="1"/>
        <rFont val="Calibri"/>
        <family val="2"/>
      </rPr>
      <t>→</t>
    </r>
    <r>
      <rPr>
        <sz val="11"/>
        <color theme="1"/>
        <rFont val="Calibri"/>
        <family val="2"/>
        <scheme val="minor"/>
      </rPr>
      <t>16, 16→17, and 17→18</t>
    </r>
  </si>
  <si>
    <t>Model1</t>
  </si>
  <si>
    <t>dev</t>
  </si>
  <si>
    <r>
      <rPr>
        <sz val="11"/>
        <color theme="1"/>
        <rFont val="Calibri"/>
        <family val="2"/>
      </rPr>
      <t>ν=ν</t>
    </r>
    <r>
      <rPr>
        <vertAlign val="subscript"/>
        <sz val="11"/>
        <color theme="1"/>
        <rFont val="Calibri"/>
        <family val="2"/>
      </rPr>
      <t>ave</t>
    </r>
  </si>
  <si>
    <t>Model2</t>
  </si>
  <si>
    <t>Model3</t>
  </si>
  <si>
    <t>dev1</t>
  </si>
  <si>
    <t>dev2</t>
  </si>
  <si>
    <t>devmin</t>
  </si>
  <si>
    <t>Model4</t>
  </si>
  <si>
    <t>dev3</t>
  </si>
  <si>
    <t>mean</t>
  </si>
  <si>
    <t>bimodal 1</t>
  </si>
  <si>
    <t>J+1</t>
  </si>
  <si>
    <t>J</t>
  </si>
  <si>
    <t>2B</t>
  </si>
  <si>
    <t>pred</t>
  </si>
  <si>
    <t>difsq</t>
  </si>
  <si>
    <t>I</t>
  </si>
  <si>
    <t>r</t>
  </si>
  <si>
    <t>B (MHz)</t>
  </si>
  <si>
    <t>B(cm-1)</t>
  </si>
  <si>
    <t>exact</t>
  </si>
  <si>
    <r>
      <t>h (*10</t>
    </r>
    <r>
      <rPr>
        <vertAlign val="superscript"/>
        <sz val="11"/>
        <color theme="1"/>
        <rFont val="Calibri"/>
        <family val="2"/>
        <scheme val="minor"/>
      </rPr>
      <t xml:space="preserve">34 </t>
    </r>
    <r>
      <rPr>
        <sz val="11"/>
        <color theme="1"/>
        <rFont val="Calibri"/>
        <family val="2"/>
        <scheme val="minor"/>
      </rPr>
      <t>Js)</t>
    </r>
  </si>
  <si>
    <t>c (m/s)</t>
  </si>
  <si>
    <r>
      <t>amu (*10</t>
    </r>
    <r>
      <rPr>
        <vertAlign val="superscript"/>
        <sz val="11"/>
        <color theme="1"/>
        <rFont val="Calibri"/>
        <family val="2"/>
        <scheme val="minor"/>
      </rPr>
      <t>27</t>
    </r>
    <r>
      <rPr>
        <sz val="11"/>
        <color theme="1"/>
        <rFont val="Calibri"/>
        <family val="2"/>
        <scheme val="minor"/>
      </rPr>
      <t xml:space="preserve"> kg)</t>
    </r>
  </si>
  <si>
    <t>ν=2B(J+1)</t>
  </si>
  <si>
    <t xml:space="preserve"> </t>
  </si>
  <si>
    <t>dev4</t>
  </si>
  <si>
    <r>
      <t>B</t>
    </r>
    <r>
      <rPr>
        <vertAlign val="subscript"/>
        <sz val="11"/>
        <color theme="1"/>
        <rFont val="Calibri"/>
        <family val="2"/>
        <scheme val="minor"/>
      </rPr>
      <t>e</t>
    </r>
  </si>
  <si>
    <r>
      <rPr>
        <sz val="11"/>
        <color theme="1"/>
        <rFont val="Calibri"/>
        <family val="2"/>
      </rPr>
      <t>α</t>
    </r>
    <r>
      <rPr>
        <vertAlign val="subscript"/>
        <sz val="11"/>
        <color theme="1"/>
        <rFont val="Calibri"/>
        <family val="2"/>
        <scheme val="minor"/>
      </rPr>
      <t>e</t>
    </r>
  </si>
  <si>
    <r>
      <t>B</t>
    </r>
    <r>
      <rPr>
        <vertAlign val="subscript"/>
        <sz val="11"/>
        <color theme="1"/>
        <rFont val="Calibri"/>
        <family val="2"/>
        <scheme val="minor"/>
      </rPr>
      <t>v</t>
    </r>
  </si>
  <si>
    <t>v</t>
  </si>
  <si>
    <r>
      <t>B</t>
    </r>
    <r>
      <rPr>
        <vertAlign val="subscript"/>
        <sz val="11"/>
        <color theme="1"/>
        <rFont val="Calibri"/>
        <family val="2"/>
        <scheme val="minor"/>
      </rPr>
      <t>e</t>
    </r>
    <r>
      <rPr>
        <sz val="11"/>
        <color theme="1"/>
        <rFont val="Calibri"/>
        <family val="2"/>
        <scheme val="minor"/>
      </rPr>
      <t>=B</t>
    </r>
    <r>
      <rPr>
        <vertAlign val="subscript"/>
        <sz val="11"/>
        <color theme="1"/>
        <rFont val="Calibri"/>
        <family val="2"/>
        <scheme val="minor"/>
      </rPr>
      <t>v</t>
    </r>
    <r>
      <rPr>
        <sz val="11"/>
        <color theme="1"/>
        <rFont val="Calibri"/>
        <family val="2"/>
        <scheme val="minor"/>
      </rPr>
      <t>-</t>
    </r>
    <r>
      <rPr>
        <sz val="11"/>
        <color theme="1"/>
        <rFont val="Calibri"/>
        <family val="2"/>
      </rPr>
      <t>α</t>
    </r>
    <r>
      <rPr>
        <vertAlign val="subscript"/>
        <sz val="11"/>
        <color theme="1"/>
        <rFont val="Calibri"/>
        <family val="2"/>
      </rPr>
      <t>e</t>
    </r>
    <r>
      <rPr>
        <sz val="11"/>
        <color theme="1"/>
        <rFont val="Calibri"/>
        <family val="2"/>
      </rPr>
      <t>(v+1/2)</t>
    </r>
  </si>
  <si>
    <t>diff</t>
  </si>
  <si>
    <t>diffsq</t>
  </si>
  <si>
    <t>Model 1</t>
  </si>
  <si>
    <r>
      <rPr>
        <sz val="11"/>
        <color theme="1"/>
        <rFont val="Calibri"/>
        <family val="2"/>
      </rPr>
      <t>γ</t>
    </r>
    <r>
      <rPr>
        <vertAlign val="subscript"/>
        <sz val="11"/>
        <color theme="1"/>
        <rFont val="Calibri"/>
        <family val="2"/>
      </rPr>
      <t>e</t>
    </r>
  </si>
  <si>
    <r>
      <t>B</t>
    </r>
    <r>
      <rPr>
        <vertAlign val="subscript"/>
        <sz val="11"/>
        <color theme="1"/>
        <rFont val="Calibri"/>
        <family val="2"/>
        <scheme val="minor"/>
      </rPr>
      <t>e</t>
    </r>
    <r>
      <rPr>
        <sz val="11"/>
        <color theme="1"/>
        <rFont val="Calibri"/>
        <family val="2"/>
        <scheme val="minor"/>
      </rPr>
      <t>=B</t>
    </r>
    <r>
      <rPr>
        <vertAlign val="subscript"/>
        <sz val="11"/>
        <color theme="1"/>
        <rFont val="Calibri"/>
        <family val="2"/>
        <scheme val="minor"/>
      </rPr>
      <t>v</t>
    </r>
    <r>
      <rPr>
        <sz val="11"/>
        <color theme="1"/>
        <rFont val="Calibri"/>
        <family val="2"/>
        <scheme val="minor"/>
      </rPr>
      <t>-</t>
    </r>
    <r>
      <rPr>
        <sz val="11"/>
        <color theme="1"/>
        <rFont val="Calibri"/>
        <family val="2"/>
      </rPr>
      <t>α</t>
    </r>
    <r>
      <rPr>
        <vertAlign val="subscript"/>
        <sz val="11"/>
        <color theme="1"/>
        <rFont val="Calibri"/>
        <family val="2"/>
      </rPr>
      <t>e</t>
    </r>
    <r>
      <rPr>
        <sz val="11"/>
        <color theme="1"/>
        <rFont val="Calibri"/>
        <family val="2"/>
      </rPr>
      <t>(v+1/2)+γ</t>
    </r>
    <r>
      <rPr>
        <vertAlign val="subscript"/>
        <sz val="11"/>
        <color theme="1"/>
        <rFont val="Calibri"/>
        <family val="2"/>
      </rPr>
      <t>e</t>
    </r>
    <r>
      <rPr>
        <sz val="11"/>
        <color theme="1"/>
        <rFont val="Calibri"/>
        <family val="2"/>
      </rPr>
      <t>(v+1/2)</t>
    </r>
    <r>
      <rPr>
        <vertAlign val="superscript"/>
        <sz val="11"/>
        <color theme="1"/>
        <rFont val="Calibri"/>
        <family val="2"/>
      </rPr>
      <t>2</t>
    </r>
  </si>
  <si>
    <r>
      <t>D</t>
    </r>
    <r>
      <rPr>
        <vertAlign val="subscript"/>
        <sz val="11"/>
        <color theme="1"/>
        <rFont val="Calibri"/>
        <family val="2"/>
      </rPr>
      <t>e</t>
    </r>
  </si>
  <si>
    <t>ED estimates</t>
  </si>
  <si>
    <t>B ave diff</t>
  </si>
  <si>
    <t>B max diff</t>
  </si>
  <si>
    <t>Model 4</t>
  </si>
  <si>
    <t>head of cluster</t>
  </si>
  <si>
    <t>Model 5</t>
  </si>
  <si>
    <t>dev5</t>
  </si>
  <si>
    <t>Model 6</t>
  </si>
  <si>
    <t>dev6</t>
  </si>
  <si>
    <t>Model 7</t>
  </si>
  <si>
    <t>dev7</t>
  </si>
  <si>
    <t>min</t>
  </si>
  <si>
    <t>Model 8</t>
  </si>
  <si>
    <t>dev8</t>
  </si>
  <si>
    <t>Grouping</t>
  </si>
  <si>
    <t>error</t>
  </si>
  <si>
    <t>cluster</t>
  </si>
  <si>
    <t>head</t>
  </si>
  <si>
    <t>Model5</t>
  </si>
  <si>
    <t>error^(1/2)</t>
  </si>
  <si>
    <t>uncertainty</t>
  </si>
  <si>
    <t xml:space="preserve">Here Models 1-8 assume that there are 1-8 clusters present. Next to each frequency is the Model (the best cluster average with minimum distance) and the deviation from each datum to each cluster average, along with the minimum deviation. Model 1 is simply the average of all the data points, Model 9 would be just the 9 data points themselves (each datum is its own cluster). The dev columns are the deviation assuming the cluster average below it, and the devmin column is the smallest of the dev columns, which allows us to assign each datum to a cluster. </t>
  </si>
  <si>
    <t xml:space="preserve">A plot of the sum of the devmins (yellow highlight) versus cluster number shows a kink for Model 3, suggesting that this data is best described by three clusters (above). </t>
  </si>
  <si>
    <t>All of the cluster averages</t>
  </si>
  <si>
    <t>We now assign the transitions to three clusters (corresponding to distinct values of J)</t>
  </si>
  <si>
    <t>We can also carry out a cluster analysis of the effective rotational constants (x2). This shows that there are 4 clusters (corresponding to different values of vibrational quantum number).</t>
  </si>
  <si>
    <t>Fitting the effective rotational constants to a polynomial in (v+1/2)</t>
  </si>
  <si>
    <t>Fitting the spectral data to the Models discussed in the text.</t>
  </si>
  <si>
    <t>Is there any pattern to the deviation?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</si>
</sst>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0000000"/>
    <numFmt numFmtId="165" formatCode="0.0"/>
    <numFmt numFmtId="166" formatCode="0.000"/>
    <numFmt numFmtId="167" formatCode="0.0000"/>
  </numFmts>
  <fonts count="9" x14ac:knownFonts="1">
    <font>
      <sz val="11"/>
      <color theme="1"/>
      <name val="Calibri"/>
      <family val="2"/>
      <scheme val="minor"/>
    </font>
    <font>
      <sz val="11"/>
      <color theme="1"/>
      <name val="Calibri"/>
      <family val="2"/>
    </font>
    <font>
      <vertAlign val="superscript"/>
      <sz val="11"/>
      <color theme="1"/>
      <name val="Calibri"/>
      <family val="2"/>
      <scheme val="minor"/>
    </font>
    <font>
      <sz val="10.45"/>
      <color theme="1"/>
      <name val="Calibri"/>
      <family val="2"/>
      <scheme val="minor"/>
    </font>
    <font>
      <vertAlign val="subscript"/>
      <sz val="11"/>
      <color theme="1"/>
      <name val="Calibri"/>
      <family val="2"/>
    </font>
    <font>
      <vertAlign val="subscript"/>
      <sz val="11"/>
      <color theme="1"/>
      <name val="Calibri"/>
      <family val="2"/>
      <scheme val="minor"/>
    </font>
    <font>
      <vertAlign val="superscript"/>
      <sz val="11"/>
      <color theme="1"/>
      <name val="Calibri"/>
      <family val="2"/>
    </font>
    <font>
      <sz val="8"/>
      <color indexed="81"/>
      <name val="Tahoma"/>
      <family val="2"/>
    </font>
    <font>
      <b/>
      <sz val="8"/>
      <color indexed="81"/>
      <name val="Tahoma"/>
      <family val="2"/>
    </font>
  </fonts>
  <fills count="4">
    <fill>
      <patternFill patternType="none"/>
    </fill>
    <fill>
      <patternFill patternType="gray125"/>
    </fill>
    <fill>
      <patternFill patternType="solid">
        <fgColor rgb="FFFFFF00"/>
        <bgColor indexed="64"/>
      </patternFill>
    </fill>
    <fill>
      <patternFill patternType="solid">
        <fgColor rgb="FFFFC000"/>
        <bgColor indexed="64"/>
      </patternFill>
    </fill>
  </fills>
  <borders count="1">
    <border>
      <left/>
      <right/>
      <top/>
      <bottom/>
      <diagonal/>
    </border>
  </borders>
  <cellStyleXfs count="1">
    <xf numFmtId="0" fontId="0" fillId="0" borderId="0"/>
  </cellStyleXfs>
  <cellXfs count="17">
    <xf numFmtId="0" fontId="0" fillId="0" borderId="0" xfId="0"/>
    <xf numFmtId="0" fontId="3" fillId="0" borderId="0" xfId="0" applyFont="1"/>
    <xf numFmtId="164" fontId="3" fillId="0" borderId="0" xfId="0" applyNumberFormat="1" applyFont="1"/>
    <xf numFmtId="164" fontId="0" fillId="0" borderId="0" xfId="0" applyNumberFormat="1"/>
    <xf numFmtId="2" fontId="0" fillId="0" borderId="0" xfId="0" applyNumberFormat="1"/>
    <xf numFmtId="165" fontId="0" fillId="0" borderId="0" xfId="0" applyNumberFormat="1"/>
    <xf numFmtId="166" fontId="0" fillId="0" borderId="0" xfId="0" applyNumberFormat="1"/>
    <xf numFmtId="0" fontId="1" fillId="0" borderId="0" xfId="0" applyFont="1"/>
    <xf numFmtId="49" fontId="0" fillId="0" borderId="0" xfId="0" applyNumberFormat="1"/>
    <xf numFmtId="166" fontId="0" fillId="2" borderId="0" xfId="0" applyNumberFormat="1" applyFill="1"/>
    <xf numFmtId="0" fontId="0" fillId="2" borderId="0" xfId="0" applyFill="1"/>
    <xf numFmtId="0" fontId="0" fillId="0" borderId="0" xfId="0" applyFill="1"/>
    <xf numFmtId="0" fontId="0" fillId="3" borderId="0" xfId="0" applyFill="1"/>
    <xf numFmtId="49" fontId="0" fillId="3" borderId="0" xfId="0" applyNumberFormat="1" applyFill="1"/>
    <xf numFmtId="49" fontId="0" fillId="0" borderId="0" xfId="0" applyNumberFormat="1" applyAlignment="1">
      <alignment horizontal="right"/>
    </xf>
    <xf numFmtId="167" fontId="0" fillId="0" borderId="0" xfId="0" applyNumberFormat="1"/>
    <xf numFmtId="0" fontId="1" fillId="2" borderId="0" xfId="0" applyFont="1" applyFill="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10.xml.rels><?xml version="1.0" encoding="UTF-8" standalone="yes"?>
<Relationships xmlns="http://schemas.openxmlformats.org/package/2006/relationships"><Relationship Id="rId2" Type="http://schemas.microsoft.com/office/2011/relationships/chartColorStyle" Target="colors10.xml"/><Relationship Id="rId1" Type="http://schemas.microsoft.com/office/2011/relationships/chartStyle" Target="style10.xml"/></Relationships>
</file>

<file path=xl/charts/_rels/chart11.xml.rels><?xml version="1.0" encoding="UTF-8" standalone="yes"?>
<Relationships xmlns="http://schemas.openxmlformats.org/package/2006/relationships"><Relationship Id="rId2" Type="http://schemas.microsoft.com/office/2011/relationships/chartColorStyle" Target="colors11.xml"/><Relationship Id="rId1" Type="http://schemas.microsoft.com/office/2011/relationships/chartStyle" Target="style11.xml"/></Relationships>
</file>

<file path=xl/charts/_rels/chart12.xml.rels><?xml version="1.0" encoding="UTF-8" standalone="yes"?>
<Relationships xmlns="http://schemas.openxmlformats.org/package/2006/relationships"><Relationship Id="rId2" Type="http://schemas.microsoft.com/office/2011/relationships/chartColorStyle" Target="colors12.xml"/><Relationship Id="rId1" Type="http://schemas.microsoft.com/office/2011/relationships/chartStyle" Target="style12.xml"/></Relationships>
</file>

<file path=xl/charts/_rels/chart13.xml.rels><?xml version="1.0" encoding="UTF-8" standalone="yes"?>
<Relationships xmlns="http://schemas.openxmlformats.org/package/2006/relationships"><Relationship Id="rId2" Type="http://schemas.microsoft.com/office/2011/relationships/chartColorStyle" Target="colors13.xml"/><Relationship Id="rId1" Type="http://schemas.microsoft.com/office/2011/relationships/chartStyle" Target="style13.xml"/></Relationships>
</file>

<file path=xl/charts/_rels/chart14.xml.rels><?xml version="1.0" encoding="UTF-8" standalone="yes"?>
<Relationships xmlns="http://schemas.openxmlformats.org/package/2006/relationships"><Relationship Id="rId2" Type="http://schemas.microsoft.com/office/2011/relationships/chartColorStyle" Target="colors14.xml"/><Relationship Id="rId1" Type="http://schemas.microsoft.com/office/2011/relationships/chartStyle" Target="style14.xml"/></Relationships>
</file>

<file path=xl/charts/_rels/chart15.xml.rels><?xml version="1.0" encoding="UTF-8" standalone="yes"?>
<Relationships xmlns="http://schemas.openxmlformats.org/package/2006/relationships"><Relationship Id="rId2" Type="http://schemas.microsoft.com/office/2011/relationships/chartColorStyle" Target="colors15.xml"/><Relationship Id="rId1" Type="http://schemas.microsoft.com/office/2011/relationships/chartStyle" Target="style15.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_rels/chart5.xml.rels><?xml version="1.0" encoding="UTF-8" standalone="yes"?>
<Relationships xmlns="http://schemas.openxmlformats.org/package/2006/relationships"><Relationship Id="rId2" Type="http://schemas.microsoft.com/office/2011/relationships/chartColorStyle" Target="colors5.xml"/><Relationship Id="rId1" Type="http://schemas.microsoft.com/office/2011/relationships/chartStyle" Target="style5.xml"/></Relationships>
</file>

<file path=xl/charts/_rels/chart6.xml.rels><?xml version="1.0" encoding="UTF-8" standalone="yes"?>
<Relationships xmlns="http://schemas.openxmlformats.org/package/2006/relationships"><Relationship Id="rId2" Type="http://schemas.microsoft.com/office/2011/relationships/chartColorStyle" Target="colors6.xml"/><Relationship Id="rId1" Type="http://schemas.microsoft.com/office/2011/relationships/chartStyle" Target="style6.xml"/></Relationships>
</file>

<file path=xl/charts/_rels/chart7.xml.rels><?xml version="1.0" encoding="UTF-8" standalone="yes"?>
<Relationships xmlns="http://schemas.openxmlformats.org/package/2006/relationships"><Relationship Id="rId2" Type="http://schemas.microsoft.com/office/2011/relationships/chartColorStyle" Target="colors7.xml"/><Relationship Id="rId1" Type="http://schemas.microsoft.com/office/2011/relationships/chartStyle" Target="style7.xml"/></Relationships>
</file>

<file path=xl/charts/_rels/chart8.xml.rels><?xml version="1.0" encoding="UTF-8" standalone="yes"?>
<Relationships xmlns="http://schemas.openxmlformats.org/package/2006/relationships"><Relationship Id="rId2" Type="http://schemas.microsoft.com/office/2011/relationships/chartColorStyle" Target="colors8.xml"/><Relationship Id="rId1" Type="http://schemas.microsoft.com/office/2011/relationships/chartStyle" Target="style8.xml"/></Relationships>
</file>

<file path=xl/charts/_rels/chart9.xml.rels><?xml version="1.0" encoding="UTF-8" standalone="yes"?>
<Relationships xmlns="http://schemas.openxmlformats.org/package/2006/relationships"><Relationship Id="rId2" Type="http://schemas.microsoft.com/office/2011/relationships/chartColorStyle" Target="colors9.xml"/><Relationship Id="rId1" Type="http://schemas.microsoft.com/office/2011/relationships/chartStyle" Target="style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CA"/>
              <a:t>Microwave Spectra of CsI</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5.6979567694883208E-2"/>
          <c:y val="0.14393518518518519"/>
          <c:w val="0.86951271936078411"/>
          <c:h val="0.72088764946048411"/>
        </c:manualLayout>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xVal>
            <c:numRef>
              <c:f>Microwave!$A$9:$A$17</c:f>
              <c:numCache>
                <c:formatCode>0.000</c:formatCode>
                <c:ptCount val="9"/>
                <c:pt idx="0">
                  <c:v>22567.02</c:v>
                </c:pt>
                <c:pt idx="1">
                  <c:v>22632.26</c:v>
                </c:pt>
                <c:pt idx="2">
                  <c:v>23838.47</c:v>
                </c:pt>
                <c:pt idx="3">
                  <c:v>23907.7</c:v>
                </c:pt>
                <c:pt idx="4">
                  <c:v>23976.959999999999</c:v>
                </c:pt>
                <c:pt idx="5">
                  <c:v>24046.400000000001</c:v>
                </c:pt>
                <c:pt idx="6">
                  <c:v>25313.66</c:v>
                </c:pt>
                <c:pt idx="7">
                  <c:v>25387.040000000001</c:v>
                </c:pt>
                <c:pt idx="8">
                  <c:v>25460.53</c:v>
                </c:pt>
              </c:numCache>
            </c:numRef>
          </c:xVal>
          <c:yVal>
            <c:numRef>
              <c:f>Microwave!$C$9:$C$17</c:f>
              <c:numCache>
                <c:formatCode>General</c:formatCode>
                <c:ptCount val="9"/>
                <c:pt idx="0">
                  <c:v>1</c:v>
                </c:pt>
                <c:pt idx="1">
                  <c:v>1</c:v>
                </c:pt>
                <c:pt idx="2">
                  <c:v>1</c:v>
                </c:pt>
                <c:pt idx="3">
                  <c:v>1</c:v>
                </c:pt>
                <c:pt idx="4">
                  <c:v>1</c:v>
                </c:pt>
                <c:pt idx="5">
                  <c:v>1</c:v>
                </c:pt>
                <c:pt idx="6">
                  <c:v>1</c:v>
                </c:pt>
                <c:pt idx="7">
                  <c:v>1</c:v>
                </c:pt>
                <c:pt idx="8">
                  <c:v>1</c:v>
                </c:pt>
              </c:numCache>
            </c:numRef>
          </c:yVal>
          <c:smooth val="0"/>
          <c:extLst>
            <c:ext xmlns:c16="http://schemas.microsoft.com/office/drawing/2014/chart" uri="{C3380CC4-5D6E-409C-BE32-E72D297353CC}">
              <c16:uniqueId val="{00000000-2517-474F-9618-9840D5E9BE97}"/>
            </c:ext>
          </c:extLst>
        </c:ser>
        <c:dLbls>
          <c:showLegendKey val="0"/>
          <c:showVal val="0"/>
          <c:showCatName val="0"/>
          <c:showSerName val="0"/>
          <c:showPercent val="0"/>
          <c:showBubbleSize val="0"/>
        </c:dLbls>
        <c:axId val="408960328"/>
        <c:axId val="156258224"/>
      </c:scatterChart>
      <c:valAx>
        <c:axId val="40896032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CA"/>
                  <a:t>Frequency (MHz)</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6258224"/>
        <c:crosses val="autoZero"/>
        <c:crossBetween val="midCat"/>
      </c:valAx>
      <c:valAx>
        <c:axId val="15625822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CA"/>
                  <a:t>Grouping</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0896032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CA"/>
              <a:t>Model 3 Deviations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xVal>
            <c:numRef>
              <c:f>Microwave!$N$221:$N$229</c:f>
              <c:numCache>
                <c:formatCode>0.000</c:formatCode>
                <c:ptCount val="9"/>
                <c:pt idx="0">
                  <c:v>0.34088907537443447</c:v>
                </c:pt>
                <c:pt idx="1">
                  <c:v>0.37198094054838293</c:v>
                </c:pt>
                <c:pt idx="2">
                  <c:v>4.3594985385425389E-2</c:v>
                </c:pt>
                <c:pt idx="3">
                  <c:v>-4.5869907869928284E-2</c:v>
                </c:pt>
                <c:pt idx="4">
                  <c:v>4.4665198878647061E-2</c:v>
                </c:pt>
                <c:pt idx="5">
                  <c:v>0.16520030561878229</c:v>
                </c:pt>
                <c:pt idx="6">
                  <c:v>-0.2532172240971704</c:v>
                </c:pt>
                <c:pt idx="7">
                  <c:v>-0.31323887577673304</c:v>
                </c:pt>
                <c:pt idx="8">
                  <c:v>-0.26326052745935158</c:v>
                </c:pt>
              </c:numCache>
            </c:numRef>
          </c:xVal>
          <c:yVal>
            <c:numRef>
              <c:f>Microwave!$C$221:$C$229</c:f>
              <c:numCache>
                <c:formatCode>General</c:formatCode>
                <c:ptCount val="9"/>
                <c:pt idx="0">
                  <c:v>15</c:v>
                </c:pt>
                <c:pt idx="1">
                  <c:v>15</c:v>
                </c:pt>
                <c:pt idx="2">
                  <c:v>16</c:v>
                </c:pt>
                <c:pt idx="3">
                  <c:v>16</c:v>
                </c:pt>
                <c:pt idx="4">
                  <c:v>16</c:v>
                </c:pt>
                <c:pt idx="5">
                  <c:v>16</c:v>
                </c:pt>
                <c:pt idx="6">
                  <c:v>17</c:v>
                </c:pt>
                <c:pt idx="7">
                  <c:v>17</c:v>
                </c:pt>
                <c:pt idx="8">
                  <c:v>17</c:v>
                </c:pt>
              </c:numCache>
            </c:numRef>
          </c:yVal>
          <c:smooth val="0"/>
          <c:extLst>
            <c:ext xmlns:c16="http://schemas.microsoft.com/office/drawing/2014/chart" uri="{C3380CC4-5D6E-409C-BE32-E72D297353CC}">
              <c16:uniqueId val="{00000000-D03E-4971-A4A5-F7FFCD3AF633}"/>
            </c:ext>
          </c:extLst>
        </c:ser>
        <c:dLbls>
          <c:showLegendKey val="0"/>
          <c:showVal val="0"/>
          <c:showCatName val="0"/>
          <c:showSerName val="0"/>
          <c:showPercent val="0"/>
          <c:showBubbleSize val="0"/>
        </c:dLbls>
        <c:axId val="437995352"/>
        <c:axId val="437995680"/>
      </c:scatterChart>
      <c:valAx>
        <c:axId val="43799535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l-GR"/>
                  <a:t>ν</a:t>
                </a:r>
                <a:r>
                  <a:rPr lang="en-CA"/>
                  <a:t> (MHz)</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7995680"/>
        <c:crosses val="autoZero"/>
        <c:crossBetween val="midCat"/>
      </c:valAx>
      <c:valAx>
        <c:axId val="4379956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CA"/>
                  <a:t>J</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7995352"/>
        <c:crosses val="autoZero"/>
        <c:crossBetween val="midCat"/>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CA"/>
              <a:t>Model 4 Deviations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xVal>
            <c:numRef>
              <c:f>Microwave!$R$221:$R$229</c:f>
              <c:numCache>
                <c:formatCode>0.000</c:formatCode>
                <c:ptCount val="9"/>
                <c:pt idx="0">
                  <c:v>-5.432267931610113E-3</c:v>
                </c:pt>
                <c:pt idx="1">
                  <c:v>6.2116539942508098E-2</c:v>
                </c:pt>
                <c:pt idx="2">
                  <c:v>-1.8662304610188585E-2</c:v>
                </c:pt>
                <c:pt idx="3">
                  <c:v>-6.9391696248203516E-2</c:v>
                </c:pt>
                <c:pt idx="4">
                  <c:v>-1.377757156296866E-2</c:v>
                </c:pt>
                <c:pt idx="5">
                  <c:v>-1.8199305559392087E-3</c:v>
                </c:pt>
                <c:pt idx="6">
                  <c:v>2.4173018711735494E-2</c:v>
                </c:pt>
                <c:pt idx="7">
                  <c:v>5.1654275703185704E-3</c:v>
                </c:pt>
                <c:pt idx="8">
                  <c:v>1.8168618415074889E-2</c:v>
                </c:pt>
              </c:numCache>
            </c:numRef>
          </c:xVal>
          <c:yVal>
            <c:numRef>
              <c:f>Microwave!$D$221:$D$229</c:f>
              <c:numCache>
                <c:formatCode>General</c:formatCode>
                <c:ptCount val="9"/>
                <c:pt idx="0">
                  <c:v>0</c:v>
                </c:pt>
                <c:pt idx="1">
                  <c:v>1</c:v>
                </c:pt>
                <c:pt idx="2">
                  <c:v>0</c:v>
                </c:pt>
                <c:pt idx="3">
                  <c:v>1</c:v>
                </c:pt>
                <c:pt idx="4">
                  <c:v>2</c:v>
                </c:pt>
                <c:pt idx="5">
                  <c:v>3</c:v>
                </c:pt>
                <c:pt idx="6">
                  <c:v>0</c:v>
                </c:pt>
                <c:pt idx="7">
                  <c:v>1</c:v>
                </c:pt>
                <c:pt idx="8">
                  <c:v>2</c:v>
                </c:pt>
              </c:numCache>
            </c:numRef>
          </c:yVal>
          <c:smooth val="0"/>
          <c:extLst>
            <c:ext xmlns:c16="http://schemas.microsoft.com/office/drawing/2014/chart" uri="{C3380CC4-5D6E-409C-BE32-E72D297353CC}">
              <c16:uniqueId val="{00000000-F84B-49DA-863A-1A81416E458D}"/>
            </c:ext>
          </c:extLst>
        </c:ser>
        <c:dLbls>
          <c:showLegendKey val="0"/>
          <c:showVal val="0"/>
          <c:showCatName val="0"/>
          <c:showSerName val="0"/>
          <c:showPercent val="0"/>
          <c:showBubbleSize val="0"/>
        </c:dLbls>
        <c:axId val="437995352"/>
        <c:axId val="437995680"/>
      </c:scatterChart>
      <c:valAx>
        <c:axId val="43799535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l-GR"/>
                  <a:t>ν</a:t>
                </a:r>
                <a:r>
                  <a:rPr lang="en-CA"/>
                  <a:t> (MHz)</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7995680"/>
        <c:crosses val="autoZero"/>
        <c:crossBetween val="midCat"/>
      </c:valAx>
      <c:valAx>
        <c:axId val="4379956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CA"/>
                  <a:t>v</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7995352"/>
        <c:crosses val="autoZero"/>
        <c:crossBetween val="midCat"/>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CA"/>
              <a:t>Model 4 Deviations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xVal>
            <c:numRef>
              <c:f>Microwave!$R$221:$R$229</c:f>
              <c:numCache>
                <c:formatCode>0.000</c:formatCode>
                <c:ptCount val="9"/>
                <c:pt idx="0">
                  <c:v>-5.432267931610113E-3</c:v>
                </c:pt>
                <c:pt idx="1">
                  <c:v>6.2116539942508098E-2</c:v>
                </c:pt>
                <c:pt idx="2">
                  <c:v>-1.8662304610188585E-2</c:v>
                </c:pt>
                <c:pt idx="3">
                  <c:v>-6.9391696248203516E-2</c:v>
                </c:pt>
                <c:pt idx="4">
                  <c:v>-1.377757156296866E-2</c:v>
                </c:pt>
                <c:pt idx="5">
                  <c:v>-1.8199305559392087E-3</c:v>
                </c:pt>
                <c:pt idx="6">
                  <c:v>2.4173018711735494E-2</c:v>
                </c:pt>
                <c:pt idx="7">
                  <c:v>5.1654275703185704E-3</c:v>
                </c:pt>
                <c:pt idx="8">
                  <c:v>1.8168618415074889E-2</c:v>
                </c:pt>
              </c:numCache>
            </c:numRef>
          </c:xVal>
          <c:yVal>
            <c:numRef>
              <c:f>Microwave!$C$221:$C$229</c:f>
              <c:numCache>
                <c:formatCode>General</c:formatCode>
                <c:ptCount val="9"/>
                <c:pt idx="0">
                  <c:v>15</c:v>
                </c:pt>
                <c:pt idx="1">
                  <c:v>15</c:v>
                </c:pt>
                <c:pt idx="2">
                  <c:v>16</c:v>
                </c:pt>
                <c:pt idx="3">
                  <c:v>16</c:v>
                </c:pt>
                <c:pt idx="4">
                  <c:v>16</c:v>
                </c:pt>
                <c:pt idx="5">
                  <c:v>16</c:v>
                </c:pt>
                <c:pt idx="6">
                  <c:v>17</c:v>
                </c:pt>
                <c:pt idx="7">
                  <c:v>17</c:v>
                </c:pt>
                <c:pt idx="8">
                  <c:v>17</c:v>
                </c:pt>
              </c:numCache>
            </c:numRef>
          </c:yVal>
          <c:smooth val="0"/>
          <c:extLst>
            <c:ext xmlns:c16="http://schemas.microsoft.com/office/drawing/2014/chart" uri="{C3380CC4-5D6E-409C-BE32-E72D297353CC}">
              <c16:uniqueId val="{00000000-FA1C-482E-B249-FD3F4338E39E}"/>
            </c:ext>
          </c:extLst>
        </c:ser>
        <c:dLbls>
          <c:showLegendKey val="0"/>
          <c:showVal val="0"/>
          <c:showCatName val="0"/>
          <c:showSerName val="0"/>
          <c:showPercent val="0"/>
          <c:showBubbleSize val="0"/>
        </c:dLbls>
        <c:axId val="437995352"/>
        <c:axId val="437995680"/>
      </c:scatterChart>
      <c:valAx>
        <c:axId val="43799535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l-GR"/>
                  <a:t>ν</a:t>
                </a:r>
                <a:r>
                  <a:rPr lang="en-CA"/>
                  <a:t> (MHz)</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7995680"/>
        <c:crosses val="autoZero"/>
        <c:crossBetween val="midCat"/>
      </c:valAx>
      <c:valAx>
        <c:axId val="4379956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CA"/>
                  <a:t>J</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7995352"/>
        <c:crosses val="autoZero"/>
        <c:crossBetween val="midCat"/>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The variation of error with number</a:t>
            </a:r>
            <a:r>
              <a:rPr lang="en-US" baseline="0"/>
              <a:t> of clusters </a:t>
            </a:r>
            <a:endParaRPr lang="en-US"/>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tx>
            <c:strRef>
              <c:f>Microwave!$E$103</c:f>
              <c:strCache>
                <c:ptCount val="1"/>
                <c:pt idx="0">
                  <c:v>error</c:v>
                </c:pt>
              </c:strCache>
            </c:strRef>
          </c:tx>
          <c:spPr>
            <a:ln w="19050" cap="rnd">
              <a:noFill/>
              <a:round/>
            </a:ln>
            <a:effectLst/>
          </c:spPr>
          <c:marker>
            <c:symbol val="circle"/>
            <c:size val="5"/>
            <c:spPr>
              <a:solidFill>
                <a:schemeClr val="accent1"/>
              </a:solidFill>
              <a:ln w="9525">
                <a:solidFill>
                  <a:schemeClr val="accent1"/>
                </a:solidFill>
              </a:ln>
              <a:effectLst/>
            </c:spPr>
          </c:marker>
          <c:xVal>
            <c:numRef>
              <c:f>Microwave!$D$104:$D$112</c:f>
              <c:numCache>
                <c:formatCode>General</c:formatCode>
                <c:ptCount val="9"/>
                <c:pt idx="0">
                  <c:v>1</c:v>
                </c:pt>
                <c:pt idx="1">
                  <c:v>2</c:v>
                </c:pt>
                <c:pt idx="2">
                  <c:v>3</c:v>
                </c:pt>
                <c:pt idx="3">
                  <c:v>4</c:v>
                </c:pt>
                <c:pt idx="4">
                  <c:v>5</c:v>
                </c:pt>
                <c:pt idx="5">
                  <c:v>6</c:v>
                </c:pt>
                <c:pt idx="6">
                  <c:v>7</c:v>
                </c:pt>
                <c:pt idx="7">
                  <c:v>8</c:v>
                </c:pt>
                <c:pt idx="8">
                  <c:v>9</c:v>
                </c:pt>
              </c:numCache>
            </c:numRef>
          </c:xVal>
          <c:yVal>
            <c:numRef>
              <c:f>Microwave!$E$104:$E$112</c:f>
              <c:numCache>
                <c:formatCode>General</c:formatCode>
                <c:ptCount val="9"/>
                <c:pt idx="0">
                  <c:v>3098.7549170917018</c:v>
                </c:pt>
                <c:pt idx="1">
                  <c:v>1562.3292498542053</c:v>
                </c:pt>
                <c:pt idx="2">
                  <c:v>192.17038414304861</c:v>
                </c:pt>
                <c:pt idx="3">
                  <c:v>133.11980512555792</c:v>
                </c:pt>
                <c:pt idx="4">
                  <c:v>98.121324134971147</c:v>
                </c:pt>
                <c:pt idx="5">
                  <c:v>83.279541605366674</c:v>
                </c:pt>
                <c:pt idx="6">
                  <c:v>67.372736325608969</c:v>
                </c:pt>
                <c:pt idx="7">
                  <c:v>46.131646404608922</c:v>
                </c:pt>
                <c:pt idx="8">
                  <c:v>0</c:v>
                </c:pt>
              </c:numCache>
            </c:numRef>
          </c:yVal>
          <c:smooth val="0"/>
          <c:extLst>
            <c:ext xmlns:c16="http://schemas.microsoft.com/office/drawing/2014/chart" uri="{C3380CC4-5D6E-409C-BE32-E72D297353CC}">
              <c16:uniqueId val="{00000000-66F0-4555-A757-DF966179417C}"/>
            </c:ext>
          </c:extLst>
        </c:ser>
        <c:dLbls>
          <c:showLegendKey val="0"/>
          <c:showVal val="0"/>
          <c:showCatName val="0"/>
          <c:showSerName val="0"/>
          <c:showPercent val="0"/>
          <c:showBubbleSize val="0"/>
        </c:dLbls>
        <c:axId val="503368888"/>
        <c:axId val="503369216"/>
      </c:scatterChart>
      <c:valAx>
        <c:axId val="50336888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CA"/>
                  <a:t>Number of clusters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369216"/>
        <c:crosses val="autoZero"/>
        <c:crossBetween val="midCat"/>
      </c:valAx>
      <c:valAx>
        <c:axId val="50336921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CA"/>
                  <a:t>(Error)</a:t>
                </a:r>
                <a:r>
                  <a:rPr lang="en-CA" baseline="30000"/>
                  <a:t>1/2</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50336888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CA"/>
              <a:t>The variation of error with number</a:t>
            </a:r>
            <a:r>
              <a:rPr lang="en-CA" baseline="0"/>
              <a:t> of clusters</a:t>
            </a:r>
            <a:endParaRPr lang="en-CA"/>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1"/>
          <c:order val="0"/>
          <c:tx>
            <c:strRef>
              <c:f>Microwave!$F$199</c:f>
              <c:strCache>
                <c:ptCount val="1"/>
                <c:pt idx="0">
                  <c:v>error^(1/2)</c:v>
                </c:pt>
              </c:strCache>
            </c:strRef>
          </c:tx>
          <c:spPr>
            <a:ln w="19050" cap="rnd">
              <a:noFill/>
              <a:round/>
            </a:ln>
            <a:effectLst/>
          </c:spPr>
          <c:marker>
            <c:symbol val="circle"/>
            <c:size val="5"/>
            <c:spPr>
              <a:solidFill>
                <a:schemeClr val="accent2"/>
              </a:solidFill>
              <a:ln w="9525">
                <a:solidFill>
                  <a:schemeClr val="accent2"/>
                </a:solidFill>
              </a:ln>
              <a:effectLst/>
            </c:spPr>
          </c:marker>
          <c:xVal>
            <c:numRef>
              <c:f>Microwave!$D$200:$D$204</c:f>
              <c:numCache>
                <c:formatCode>General</c:formatCode>
                <c:ptCount val="5"/>
                <c:pt idx="0">
                  <c:v>1</c:v>
                </c:pt>
                <c:pt idx="1">
                  <c:v>2</c:v>
                </c:pt>
                <c:pt idx="2">
                  <c:v>3</c:v>
                </c:pt>
                <c:pt idx="3">
                  <c:v>4</c:v>
                </c:pt>
                <c:pt idx="4">
                  <c:v>5</c:v>
                </c:pt>
              </c:numCache>
            </c:numRef>
          </c:xVal>
          <c:yVal>
            <c:numRef>
              <c:f>Microwave!$F$200:$F$204</c:f>
              <c:numCache>
                <c:formatCode>General</c:formatCode>
                <c:ptCount val="5"/>
                <c:pt idx="0">
                  <c:v>12.164832101855412</c:v>
                </c:pt>
                <c:pt idx="1">
                  <c:v>5.9993094870442274</c:v>
                </c:pt>
                <c:pt idx="2">
                  <c:v>3.3168926489477486</c:v>
                </c:pt>
                <c:pt idx="3">
                  <c:v>4.7708223370446549E-2</c:v>
                </c:pt>
                <c:pt idx="4">
                  <c:v>3.5814064417799552E-2</c:v>
                </c:pt>
              </c:numCache>
            </c:numRef>
          </c:yVal>
          <c:smooth val="0"/>
          <c:extLst>
            <c:ext xmlns:c16="http://schemas.microsoft.com/office/drawing/2014/chart" uri="{C3380CC4-5D6E-409C-BE32-E72D297353CC}">
              <c16:uniqueId val="{00000001-84CE-46FE-8350-D3A8B5851BBA}"/>
            </c:ext>
          </c:extLst>
        </c:ser>
        <c:dLbls>
          <c:showLegendKey val="0"/>
          <c:showVal val="0"/>
          <c:showCatName val="0"/>
          <c:showSerName val="0"/>
          <c:showPercent val="0"/>
          <c:showBubbleSize val="0"/>
        </c:dLbls>
        <c:axId val="403702928"/>
        <c:axId val="403698664"/>
      </c:scatterChart>
      <c:valAx>
        <c:axId val="40370292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CA"/>
                  <a:t>Number of clusters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03698664"/>
        <c:crosses val="autoZero"/>
        <c:crossBetween val="midCat"/>
      </c:valAx>
      <c:valAx>
        <c:axId val="40369866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CA"/>
                  <a:t>error</a:t>
                </a:r>
                <a:r>
                  <a:rPr lang="en-CA" baseline="30000"/>
                  <a:t>1/2</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0370292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1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CA"/>
              <a:t>Microwave Spectrum of CsI</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9663819649577944E-2"/>
          <c:y val="0.14393521015352534"/>
          <c:w val="0.86951271936078411"/>
          <c:h val="0.72088764946048411"/>
        </c:manualLayout>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xVal>
            <c:numRef>
              <c:f>(Microwave!$A$85:$A$93,Microwave!$A$97:$A$99)</c:f>
              <c:numCache>
                <c:formatCode>0.000</c:formatCode>
                <c:ptCount val="12"/>
                <c:pt idx="0">
                  <c:v>22567.02</c:v>
                </c:pt>
                <c:pt idx="1">
                  <c:v>22632.26</c:v>
                </c:pt>
                <c:pt idx="2">
                  <c:v>23838.47</c:v>
                </c:pt>
                <c:pt idx="3">
                  <c:v>23907.7</c:v>
                </c:pt>
                <c:pt idx="4">
                  <c:v>23976.959999999999</c:v>
                </c:pt>
                <c:pt idx="5">
                  <c:v>24046.400000000001</c:v>
                </c:pt>
                <c:pt idx="6">
                  <c:v>25313.66</c:v>
                </c:pt>
                <c:pt idx="7">
                  <c:v>25387.040000000001</c:v>
                </c:pt>
                <c:pt idx="8">
                  <c:v>25460.53</c:v>
                </c:pt>
                <c:pt idx="9" formatCode="General">
                  <c:v>22599.639949702298</c:v>
                </c:pt>
                <c:pt idx="10" formatCode="General">
                  <c:v>23942.382437794437</c:v>
                </c:pt>
                <c:pt idx="11" formatCode="General">
                  <c:v>25387.076666464331</c:v>
                </c:pt>
              </c:numCache>
            </c:numRef>
          </c:xVal>
          <c:yVal>
            <c:numRef>
              <c:f>(Microwave!$B$85:$B$93,Microwave!$B$97:$B$99)</c:f>
              <c:numCache>
                <c:formatCode>General</c:formatCode>
                <c:ptCount val="12"/>
                <c:pt idx="0">
                  <c:v>0</c:v>
                </c:pt>
                <c:pt idx="1">
                  <c:v>0</c:v>
                </c:pt>
                <c:pt idx="2">
                  <c:v>0</c:v>
                </c:pt>
                <c:pt idx="3">
                  <c:v>0</c:v>
                </c:pt>
                <c:pt idx="4">
                  <c:v>0</c:v>
                </c:pt>
                <c:pt idx="5">
                  <c:v>0</c:v>
                </c:pt>
                <c:pt idx="6">
                  <c:v>0</c:v>
                </c:pt>
                <c:pt idx="7">
                  <c:v>0</c:v>
                </c:pt>
                <c:pt idx="8">
                  <c:v>0</c:v>
                </c:pt>
                <c:pt idx="9">
                  <c:v>3</c:v>
                </c:pt>
                <c:pt idx="10">
                  <c:v>3</c:v>
                </c:pt>
                <c:pt idx="11">
                  <c:v>3</c:v>
                </c:pt>
              </c:numCache>
            </c:numRef>
          </c:yVal>
          <c:smooth val="0"/>
          <c:extLst>
            <c:ext xmlns:c16="http://schemas.microsoft.com/office/drawing/2014/chart" uri="{C3380CC4-5D6E-409C-BE32-E72D297353CC}">
              <c16:uniqueId val="{00000000-AC2D-49C1-A06F-31246549B06D}"/>
            </c:ext>
          </c:extLst>
        </c:ser>
        <c:dLbls>
          <c:showLegendKey val="0"/>
          <c:showVal val="0"/>
          <c:showCatName val="0"/>
          <c:showSerName val="0"/>
          <c:showPercent val="0"/>
          <c:showBubbleSize val="0"/>
        </c:dLbls>
        <c:axId val="408960328"/>
        <c:axId val="156258224"/>
      </c:scatterChart>
      <c:valAx>
        <c:axId val="40896032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CA"/>
                  <a:t>Frequency (MHz)</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6258224"/>
        <c:crosses val="autoZero"/>
        <c:crossBetween val="midCat"/>
      </c:valAx>
      <c:valAx>
        <c:axId val="15625822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CA"/>
                  <a:t># Grouping</a:t>
                </a:r>
              </a:p>
            </c:rich>
          </c:tx>
          <c:layout>
            <c:manualLayout>
              <c:xMode val="edge"/>
              <c:yMode val="edge"/>
              <c:x val="0"/>
              <c:y val="0.3997328587351238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08960328"/>
        <c:crosses val="autoZero"/>
        <c:crossBetween val="midCat"/>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CA"/>
              <a:t>Microwave Spectrum of CsI</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7.9663819649577944E-2"/>
          <c:y val="0.14393521015352534"/>
          <c:w val="0.86951271936078411"/>
          <c:h val="0.72088764946048411"/>
        </c:manualLayout>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xVal>
            <c:numRef>
              <c:f>Microwave!$A$85:$A$129</c:f>
              <c:numCache>
                <c:formatCode>0.000</c:formatCode>
                <c:ptCount val="45"/>
                <c:pt idx="0">
                  <c:v>22567.02</c:v>
                </c:pt>
                <c:pt idx="1">
                  <c:v>22632.26</c:v>
                </c:pt>
                <c:pt idx="2">
                  <c:v>23838.47</c:v>
                </c:pt>
                <c:pt idx="3">
                  <c:v>23907.7</c:v>
                </c:pt>
                <c:pt idx="4">
                  <c:v>23976.959999999999</c:v>
                </c:pt>
                <c:pt idx="5">
                  <c:v>24046.400000000001</c:v>
                </c:pt>
                <c:pt idx="6">
                  <c:v>25313.66</c:v>
                </c:pt>
                <c:pt idx="7">
                  <c:v>25387.040000000001</c:v>
                </c:pt>
                <c:pt idx="8">
                  <c:v>25460.53</c:v>
                </c:pt>
                <c:pt idx="9">
                  <c:v>24125.56</c:v>
                </c:pt>
                <c:pt idx="10">
                  <c:v>23494.801666589708</c:v>
                </c:pt>
                <c:pt idx="11" formatCode="General">
                  <c:v>25387.076667073325</c:v>
                </c:pt>
                <c:pt idx="12" formatCode="General">
                  <c:v>22599.639949702298</c:v>
                </c:pt>
                <c:pt idx="13" formatCode="General">
                  <c:v>23942.382437794437</c:v>
                </c:pt>
                <c:pt idx="14" formatCode="General">
                  <c:v>25387.076666464331</c:v>
                </c:pt>
                <c:pt idx="15" formatCode="General">
                  <c:v>22599.639999999577</c:v>
                </c:pt>
                <c:pt idx="16" formatCode="General">
                  <c:v>23873.084999999301</c:v>
                </c:pt>
                <c:pt idx="17" formatCode="General">
                  <c:v>24011.679999999909</c:v>
                </c:pt>
                <c:pt idx="18" formatCode="General">
                  <c:v>25387.076666667162</c:v>
                </c:pt>
                <c:pt idx="19" formatCode="General">
                  <c:v>22599.640000012569</c:v>
                </c:pt>
                <c:pt idx="20" formatCode="General">
                  <c:v>23873.084999981453</c:v>
                </c:pt>
                <c:pt idx="21" formatCode="General">
                  <c:v>24011.680000080141</c:v>
                </c:pt>
                <c:pt idx="22" formatCode="General">
                  <c:v>25350.350000041057</c:v>
                </c:pt>
                <c:pt idx="23" formatCode="General">
                  <c:v>25460.529999998391</c:v>
                </c:pt>
                <c:pt idx="24" formatCode="General">
                  <c:v>22599.639999999989</c:v>
                </c:pt>
                <c:pt idx="25" formatCode="General">
                  <c:v>23873.084999999981</c:v>
                </c:pt>
                <c:pt idx="26" formatCode="General">
                  <c:v>24011.679999999997</c:v>
                </c:pt>
                <c:pt idx="27" formatCode="General">
                  <c:v>25313.659999931151</c:v>
                </c:pt>
                <c:pt idx="28" formatCode="General">
                  <c:v>25387.039999997367</c:v>
                </c:pt>
                <c:pt idx="29" formatCode="General">
                  <c:v>25460.530000123137</c:v>
                </c:pt>
                <c:pt idx="30" formatCode="General">
                  <c:v>22599.640000011921</c:v>
                </c:pt>
                <c:pt idx="31" formatCode="@">
                  <c:v>23838.469999994111</c:v>
                </c:pt>
                <c:pt idx="32" formatCode="General">
                  <c:v>23907.699999985678</c:v>
                </c:pt>
                <c:pt idx="33" formatCode="General">
                  <c:v>24011.680000044747</c:v>
                </c:pt>
                <c:pt idx="34" formatCode="General">
                  <c:v>25313.659999975942</c:v>
                </c:pt>
                <c:pt idx="35" formatCode="General">
                  <c:v>25387.040000027217</c:v>
                </c:pt>
                <c:pt idx="36" formatCode="General">
                  <c:v>25460.53000000001</c:v>
                </c:pt>
                <c:pt idx="37" formatCode="General">
                  <c:v>22599.640000011921</c:v>
                </c:pt>
                <c:pt idx="38" formatCode="General">
                  <c:v>23838.47</c:v>
                </c:pt>
                <c:pt idx="39" formatCode="General">
                  <c:v>23907.7</c:v>
                </c:pt>
                <c:pt idx="40" formatCode="General">
                  <c:v>23976.959999999999</c:v>
                </c:pt>
                <c:pt idx="41" formatCode="General">
                  <c:v>24046.400000000001</c:v>
                </c:pt>
                <c:pt idx="42" formatCode="General">
                  <c:v>25313.66</c:v>
                </c:pt>
                <c:pt idx="43" formatCode="General">
                  <c:v>25387.040000000001</c:v>
                </c:pt>
                <c:pt idx="44" formatCode="General">
                  <c:v>25460.53</c:v>
                </c:pt>
              </c:numCache>
            </c:numRef>
          </c:xVal>
          <c:yVal>
            <c:numRef>
              <c:f>Microwave!$B$85:$B$129</c:f>
              <c:numCache>
                <c:formatCode>General</c:formatCode>
                <c:ptCount val="45"/>
                <c:pt idx="0">
                  <c:v>0</c:v>
                </c:pt>
                <c:pt idx="1">
                  <c:v>0</c:v>
                </c:pt>
                <c:pt idx="2">
                  <c:v>0</c:v>
                </c:pt>
                <c:pt idx="3">
                  <c:v>0</c:v>
                </c:pt>
                <c:pt idx="4">
                  <c:v>0</c:v>
                </c:pt>
                <c:pt idx="5">
                  <c:v>0</c:v>
                </c:pt>
                <c:pt idx="6">
                  <c:v>0</c:v>
                </c:pt>
                <c:pt idx="7">
                  <c:v>0</c:v>
                </c:pt>
                <c:pt idx="8">
                  <c:v>0</c:v>
                </c:pt>
                <c:pt idx="9">
                  <c:v>1</c:v>
                </c:pt>
                <c:pt idx="10">
                  <c:v>2</c:v>
                </c:pt>
                <c:pt idx="11">
                  <c:v>2</c:v>
                </c:pt>
                <c:pt idx="12">
                  <c:v>3</c:v>
                </c:pt>
                <c:pt idx="13">
                  <c:v>3</c:v>
                </c:pt>
                <c:pt idx="14">
                  <c:v>3</c:v>
                </c:pt>
                <c:pt idx="15">
                  <c:v>4</c:v>
                </c:pt>
                <c:pt idx="16">
                  <c:v>4</c:v>
                </c:pt>
                <c:pt idx="17">
                  <c:v>4</c:v>
                </c:pt>
                <c:pt idx="18">
                  <c:v>4</c:v>
                </c:pt>
                <c:pt idx="19">
                  <c:v>5</c:v>
                </c:pt>
                <c:pt idx="20">
                  <c:v>5</c:v>
                </c:pt>
                <c:pt idx="21">
                  <c:v>5</c:v>
                </c:pt>
                <c:pt idx="22">
                  <c:v>5</c:v>
                </c:pt>
                <c:pt idx="23">
                  <c:v>5</c:v>
                </c:pt>
                <c:pt idx="24">
                  <c:v>6</c:v>
                </c:pt>
                <c:pt idx="25">
                  <c:v>6</c:v>
                </c:pt>
                <c:pt idx="26">
                  <c:v>6</c:v>
                </c:pt>
                <c:pt idx="27">
                  <c:v>6</c:v>
                </c:pt>
                <c:pt idx="28">
                  <c:v>6</c:v>
                </c:pt>
                <c:pt idx="29">
                  <c:v>6</c:v>
                </c:pt>
                <c:pt idx="30">
                  <c:v>7</c:v>
                </c:pt>
                <c:pt idx="31">
                  <c:v>7</c:v>
                </c:pt>
                <c:pt idx="32">
                  <c:v>7</c:v>
                </c:pt>
                <c:pt idx="33">
                  <c:v>7</c:v>
                </c:pt>
                <c:pt idx="34">
                  <c:v>7</c:v>
                </c:pt>
                <c:pt idx="35">
                  <c:v>7</c:v>
                </c:pt>
                <c:pt idx="36">
                  <c:v>7</c:v>
                </c:pt>
                <c:pt idx="37">
                  <c:v>8</c:v>
                </c:pt>
                <c:pt idx="38">
                  <c:v>8</c:v>
                </c:pt>
                <c:pt idx="39">
                  <c:v>8</c:v>
                </c:pt>
                <c:pt idx="40">
                  <c:v>8</c:v>
                </c:pt>
                <c:pt idx="41">
                  <c:v>8</c:v>
                </c:pt>
                <c:pt idx="42">
                  <c:v>8</c:v>
                </c:pt>
                <c:pt idx="43">
                  <c:v>8</c:v>
                </c:pt>
                <c:pt idx="44">
                  <c:v>8</c:v>
                </c:pt>
              </c:numCache>
            </c:numRef>
          </c:yVal>
          <c:smooth val="0"/>
          <c:extLst>
            <c:ext xmlns:c16="http://schemas.microsoft.com/office/drawing/2014/chart" uri="{C3380CC4-5D6E-409C-BE32-E72D297353CC}">
              <c16:uniqueId val="{00000000-C90D-4158-B19E-8DC3C4FF27A2}"/>
            </c:ext>
          </c:extLst>
        </c:ser>
        <c:dLbls>
          <c:showLegendKey val="0"/>
          <c:showVal val="0"/>
          <c:showCatName val="0"/>
          <c:showSerName val="0"/>
          <c:showPercent val="0"/>
          <c:showBubbleSize val="0"/>
        </c:dLbls>
        <c:axId val="408960328"/>
        <c:axId val="156258224"/>
      </c:scatterChart>
      <c:valAx>
        <c:axId val="408960328"/>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CA"/>
                  <a:t>Frequency (MHz)</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6258224"/>
        <c:crosses val="autoZero"/>
        <c:crossBetween val="midCat"/>
      </c:valAx>
      <c:valAx>
        <c:axId val="156258224"/>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CA"/>
                  <a:t># Grouping</a:t>
                </a:r>
              </a:p>
            </c:rich>
          </c:tx>
          <c:layout>
            <c:manualLayout>
              <c:xMode val="edge"/>
              <c:yMode val="edge"/>
              <c:x val="0"/>
              <c:y val="0.39973285873512387"/>
            </c:manualLayout>
          </c:layout>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08960328"/>
        <c:crosses val="autoZero"/>
        <c:crossBetween val="midCat"/>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CA"/>
              <a:t>Clustering of effective 2B</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19050" cap="rnd">
              <a:noFill/>
              <a:round/>
            </a:ln>
            <a:effectLst/>
          </c:spPr>
          <c:marker>
            <c:symbol val="circle"/>
            <c:size val="5"/>
            <c:spPr>
              <a:solidFill>
                <a:schemeClr val="accent1"/>
              </a:solidFill>
              <a:ln w="9525">
                <a:solidFill>
                  <a:schemeClr val="accent1"/>
                </a:solidFill>
              </a:ln>
              <a:effectLst/>
            </c:spPr>
          </c:marker>
          <c:xVal>
            <c:numRef>
              <c:f>Microwave!$A$152:$A$160</c:f>
              <c:numCache>
                <c:formatCode>General</c:formatCode>
                <c:ptCount val="9"/>
                <c:pt idx="0">
                  <c:v>1414.5162499999999</c:v>
                </c:pt>
                <c:pt idx="1">
                  <c:v>1410.43875</c:v>
                </c:pt>
                <c:pt idx="2">
                  <c:v>1414.4941176470588</c:v>
                </c:pt>
                <c:pt idx="3">
                  <c:v>1410.4094117647057</c:v>
                </c:pt>
                <c:pt idx="4">
                  <c:v>1406.3352941176472</c:v>
                </c:pt>
                <c:pt idx="5">
                  <c:v>1402.2629411764706</c:v>
                </c:pt>
                <c:pt idx="6">
                  <c:v>1414.4738888888887</c:v>
                </c:pt>
                <c:pt idx="7">
                  <c:v>1410.3911111111111</c:v>
                </c:pt>
                <c:pt idx="8">
                  <c:v>1406.3144444444445</c:v>
                </c:pt>
              </c:numCache>
            </c:numRef>
          </c:xVal>
          <c:yVal>
            <c:numRef>
              <c:f>Microwave!$B$152:$B$160</c:f>
              <c:numCache>
                <c:formatCode>General</c:formatCode>
                <c:ptCount val="9"/>
                <c:pt idx="0">
                  <c:v>15</c:v>
                </c:pt>
                <c:pt idx="1">
                  <c:v>15</c:v>
                </c:pt>
                <c:pt idx="2">
                  <c:v>16</c:v>
                </c:pt>
                <c:pt idx="3">
                  <c:v>16</c:v>
                </c:pt>
                <c:pt idx="4">
                  <c:v>16</c:v>
                </c:pt>
                <c:pt idx="5">
                  <c:v>16</c:v>
                </c:pt>
                <c:pt idx="6">
                  <c:v>17</c:v>
                </c:pt>
                <c:pt idx="7">
                  <c:v>17</c:v>
                </c:pt>
                <c:pt idx="8">
                  <c:v>17</c:v>
                </c:pt>
              </c:numCache>
            </c:numRef>
          </c:yVal>
          <c:smooth val="0"/>
          <c:extLst>
            <c:ext xmlns:c16="http://schemas.microsoft.com/office/drawing/2014/chart" uri="{C3380CC4-5D6E-409C-BE32-E72D297353CC}">
              <c16:uniqueId val="{00000000-9818-45E0-A50B-C30B17962D6A}"/>
            </c:ext>
          </c:extLst>
        </c:ser>
        <c:dLbls>
          <c:showLegendKey val="0"/>
          <c:showVal val="0"/>
          <c:showCatName val="0"/>
          <c:showSerName val="0"/>
          <c:showPercent val="0"/>
          <c:showBubbleSize val="0"/>
        </c:dLbls>
        <c:axId val="437995352"/>
        <c:axId val="437995680"/>
      </c:scatterChart>
      <c:valAx>
        <c:axId val="43799535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CA"/>
                  <a:t>2B (MHz)</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7995680"/>
        <c:crosses val="autoZero"/>
        <c:crossBetween val="midCat"/>
      </c:valAx>
      <c:valAx>
        <c:axId val="4379956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CA"/>
                  <a:t>J</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7995352"/>
        <c:crosses val="autoZero"/>
        <c:crossBetween val="midCat"/>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CA"/>
              <a:t>Clustering of effective 2B</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xVal>
            <c:numRef>
              <c:f>Microwave!$A$181:$A$204</c:f>
              <c:numCache>
                <c:formatCode>General</c:formatCode>
                <c:ptCount val="24"/>
                <c:pt idx="0">
                  <c:v>1414.5162499999999</c:v>
                </c:pt>
                <c:pt idx="1">
                  <c:v>1410.43875</c:v>
                </c:pt>
                <c:pt idx="2">
                  <c:v>1414.4941176470588</c:v>
                </c:pt>
                <c:pt idx="3">
                  <c:v>1410.4094117647057</c:v>
                </c:pt>
                <c:pt idx="4">
                  <c:v>1406.3352941176472</c:v>
                </c:pt>
                <c:pt idx="5">
                  <c:v>1402.2629411764706</c:v>
                </c:pt>
                <c:pt idx="6">
                  <c:v>1414.4738888888887</c:v>
                </c:pt>
                <c:pt idx="7">
                  <c:v>1410.3911111111111</c:v>
                </c:pt>
                <c:pt idx="8">
                  <c:v>1406.3144444444445</c:v>
                </c:pt>
                <c:pt idx="9">
                  <c:v>1409.9595787944806</c:v>
                </c:pt>
                <c:pt idx="10">
                  <c:v>1404.9709223526643</c:v>
                </c:pt>
                <c:pt idx="11">
                  <c:v>1412.4539066092793</c:v>
                </c:pt>
                <c:pt idx="12">
                  <c:v>1404.9708932461895</c:v>
                </c:pt>
                <c:pt idx="13">
                  <c:v>1410.4130909585915</c:v>
                </c:pt>
                <c:pt idx="14">
                  <c:v>1414.4947521786562</c:v>
                </c:pt>
                <c:pt idx="15">
                  <c:v>1402.2615537412098</c:v>
                </c:pt>
                <c:pt idx="16">
                  <c:v>1406.3234688328814</c:v>
                </c:pt>
                <c:pt idx="17">
                  <c:v>1410.4130835807459</c:v>
                </c:pt>
                <c:pt idx="18">
                  <c:v>1414.4947582090615</c:v>
                </c:pt>
                <c:pt idx="19">
                  <c:v>1402.2629411764706</c:v>
                </c:pt>
                <c:pt idx="20">
                  <c:v>1406.3248692810457</c:v>
                </c:pt>
                <c:pt idx="21">
                  <c:v>1410.4002614379092</c:v>
                </c:pt>
                <c:pt idx="22">
                  <c:v>1410.4387500000005</c:v>
                </c:pt>
                <c:pt idx="23">
                  <c:v>1414.4947521786496</c:v>
                </c:pt>
              </c:numCache>
            </c:numRef>
          </c:xVal>
          <c:yVal>
            <c:numRef>
              <c:f>Microwave!$B$181:$B$204</c:f>
              <c:numCache>
                <c:formatCode>General</c:formatCode>
                <c:ptCount val="24"/>
                <c:pt idx="0">
                  <c:v>0</c:v>
                </c:pt>
                <c:pt idx="1">
                  <c:v>0</c:v>
                </c:pt>
                <c:pt idx="2">
                  <c:v>0</c:v>
                </c:pt>
                <c:pt idx="3">
                  <c:v>0</c:v>
                </c:pt>
                <c:pt idx="4">
                  <c:v>0</c:v>
                </c:pt>
                <c:pt idx="5">
                  <c:v>0</c:v>
                </c:pt>
                <c:pt idx="6">
                  <c:v>0</c:v>
                </c:pt>
                <c:pt idx="7">
                  <c:v>0</c:v>
                </c:pt>
                <c:pt idx="8">
                  <c:v>0</c:v>
                </c:pt>
                <c:pt idx="9">
                  <c:v>1</c:v>
                </c:pt>
                <c:pt idx="10">
                  <c:v>2</c:v>
                </c:pt>
                <c:pt idx="11">
                  <c:v>2</c:v>
                </c:pt>
                <c:pt idx="12">
                  <c:v>3</c:v>
                </c:pt>
                <c:pt idx="13">
                  <c:v>3</c:v>
                </c:pt>
                <c:pt idx="14">
                  <c:v>3</c:v>
                </c:pt>
                <c:pt idx="15">
                  <c:v>4</c:v>
                </c:pt>
                <c:pt idx="16">
                  <c:v>4</c:v>
                </c:pt>
                <c:pt idx="17">
                  <c:v>4</c:v>
                </c:pt>
                <c:pt idx="18">
                  <c:v>4</c:v>
                </c:pt>
                <c:pt idx="19">
                  <c:v>5</c:v>
                </c:pt>
                <c:pt idx="20">
                  <c:v>5</c:v>
                </c:pt>
                <c:pt idx="21">
                  <c:v>5</c:v>
                </c:pt>
                <c:pt idx="22">
                  <c:v>5</c:v>
                </c:pt>
                <c:pt idx="23">
                  <c:v>5</c:v>
                </c:pt>
              </c:numCache>
            </c:numRef>
          </c:yVal>
          <c:smooth val="0"/>
          <c:extLst>
            <c:ext xmlns:c16="http://schemas.microsoft.com/office/drawing/2014/chart" uri="{C3380CC4-5D6E-409C-BE32-E72D297353CC}">
              <c16:uniqueId val="{00000000-3430-4291-B3C0-26E88B6A3B82}"/>
            </c:ext>
          </c:extLst>
        </c:ser>
        <c:dLbls>
          <c:showLegendKey val="0"/>
          <c:showVal val="0"/>
          <c:showCatName val="0"/>
          <c:showSerName val="0"/>
          <c:showPercent val="0"/>
          <c:showBubbleSize val="0"/>
        </c:dLbls>
        <c:axId val="437995352"/>
        <c:axId val="437995680"/>
      </c:scatterChart>
      <c:valAx>
        <c:axId val="43799535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CA"/>
                  <a:t>2B (MHz)</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7995680"/>
        <c:crosses val="autoZero"/>
        <c:crossBetween val="midCat"/>
      </c:valAx>
      <c:valAx>
        <c:axId val="437995680"/>
        <c:scaling>
          <c:orientation val="minMax"/>
          <c:max val="5"/>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CA"/>
                  <a:t>Number of Clusters</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7995352"/>
        <c:crosses val="autoZero"/>
        <c:crossBetween val="midCat"/>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CA"/>
              <a:t>Model 1 Deviations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xVal>
            <c:numRef>
              <c:f>Microwave!$F$221:$F$229</c:f>
              <c:numCache>
                <c:formatCode>0.000</c:formatCode>
                <c:ptCount val="9"/>
                <c:pt idx="0">
                  <c:v>0.40129843206159421</c:v>
                </c:pt>
                <c:pt idx="1">
                  <c:v>0.43641393843790866</c:v>
                </c:pt>
                <c:pt idx="2">
                  <c:v>5.0129584069509292E-2</c:v>
                </c:pt>
                <c:pt idx="3">
                  <c:v>-3.5060190410149517E-2</c:v>
                </c:pt>
                <c:pt idx="4">
                  <c:v>5.9750035117758671E-2</c:v>
                </c:pt>
                <c:pt idx="5">
                  <c:v>0.18456026064086473</c:v>
                </c:pt>
                <c:pt idx="6">
                  <c:v>-0.31103926392825088</c:v>
                </c:pt>
                <c:pt idx="7">
                  <c:v>-0.36653431925515179</c:v>
                </c:pt>
                <c:pt idx="8">
                  <c:v>-0.31202937458147062</c:v>
                </c:pt>
              </c:numCache>
            </c:numRef>
          </c:xVal>
          <c:yVal>
            <c:numRef>
              <c:f>Microwave!$D$221:$D$229</c:f>
              <c:numCache>
                <c:formatCode>General</c:formatCode>
                <c:ptCount val="9"/>
                <c:pt idx="0">
                  <c:v>0</c:v>
                </c:pt>
                <c:pt idx="1">
                  <c:v>1</c:v>
                </c:pt>
                <c:pt idx="2">
                  <c:v>0</c:v>
                </c:pt>
                <c:pt idx="3">
                  <c:v>1</c:v>
                </c:pt>
                <c:pt idx="4">
                  <c:v>2</c:v>
                </c:pt>
                <c:pt idx="5">
                  <c:v>3</c:v>
                </c:pt>
                <c:pt idx="6">
                  <c:v>0</c:v>
                </c:pt>
                <c:pt idx="7">
                  <c:v>1</c:v>
                </c:pt>
                <c:pt idx="8">
                  <c:v>2</c:v>
                </c:pt>
              </c:numCache>
            </c:numRef>
          </c:yVal>
          <c:smooth val="0"/>
          <c:extLst>
            <c:ext xmlns:c16="http://schemas.microsoft.com/office/drawing/2014/chart" uri="{C3380CC4-5D6E-409C-BE32-E72D297353CC}">
              <c16:uniqueId val="{00000000-DD28-4C47-886C-9EA48968ABFD}"/>
            </c:ext>
          </c:extLst>
        </c:ser>
        <c:dLbls>
          <c:showLegendKey val="0"/>
          <c:showVal val="0"/>
          <c:showCatName val="0"/>
          <c:showSerName val="0"/>
          <c:showPercent val="0"/>
          <c:showBubbleSize val="0"/>
        </c:dLbls>
        <c:axId val="437995352"/>
        <c:axId val="437995680"/>
      </c:scatterChart>
      <c:valAx>
        <c:axId val="43799535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l-GR"/>
                  <a:t>ν</a:t>
                </a:r>
                <a:r>
                  <a:rPr lang="en-CA"/>
                  <a:t> (MHz)</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7995680"/>
        <c:crosses val="autoZero"/>
        <c:crossBetween val="midCat"/>
      </c:valAx>
      <c:valAx>
        <c:axId val="4379956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CA"/>
                  <a:t>v</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out"/>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7995352"/>
        <c:crosses val="autoZero"/>
        <c:crossBetween val="midCat"/>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CA"/>
              <a:t>Model 1 Deviations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xVal>
            <c:numRef>
              <c:f>Microwave!$F$221:$F$229</c:f>
              <c:numCache>
                <c:formatCode>0.000</c:formatCode>
                <c:ptCount val="9"/>
                <c:pt idx="0">
                  <c:v>0.40129843206159421</c:v>
                </c:pt>
                <c:pt idx="1">
                  <c:v>0.43641393843790866</c:v>
                </c:pt>
                <c:pt idx="2">
                  <c:v>5.0129584069509292E-2</c:v>
                </c:pt>
                <c:pt idx="3">
                  <c:v>-3.5060190410149517E-2</c:v>
                </c:pt>
                <c:pt idx="4">
                  <c:v>5.9750035117758671E-2</c:v>
                </c:pt>
                <c:pt idx="5">
                  <c:v>0.18456026064086473</c:v>
                </c:pt>
                <c:pt idx="6">
                  <c:v>-0.31103926392825088</c:v>
                </c:pt>
                <c:pt idx="7">
                  <c:v>-0.36653431925515179</c:v>
                </c:pt>
                <c:pt idx="8">
                  <c:v>-0.31202937458147062</c:v>
                </c:pt>
              </c:numCache>
            </c:numRef>
          </c:xVal>
          <c:yVal>
            <c:numRef>
              <c:f>Microwave!$C$221:$C$229</c:f>
              <c:numCache>
                <c:formatCode>General</c:formatCode>
                <c:ptCount val="9"/>
                <c:pt idx="0">
                  <c:v>15</c:v>
                </c:pt>
                <c:pt idx="1">
                  <c:v>15</c:v>
                </c:pt>
                <c:pt idx="2">
                  <c:v>16</c:v>
                </c:pt>
                <c:pt idx="3">
                  <c:v>16</c:v>
                </c:pt>
                <c:pt idx="4">
                  <c:v>16</c:v>
                </c:pt>
                <c:pt idx="5">
                  <c:v>16</c:v>
                </c:pt>
                <c:pt idx="6">
                  <c:v>17</c:v>
                </c:pt>
                <c:pt idx="7">
                  <c:v>17</c:v>
                </c:pt>
                <c:pt idx="8">
                  <c:v>17</c:v>
                </c:pt>
              </c:numCache>
            </c:numRef>
          </c:yVal>
          <c:smooth val="0"/>
          <c:extLst>
            <c:ext xmlns:c16="http://schemas.microsoft.com/office/drawing/2014/chart" uri="{C3380CC4-5D6E-409C-BE32-E72D297353CC}">
              <c16:uniqueId val="{00000000-8285-4368-BC6A-C3CB9ECE96BB}"/>
            </c:ext>
          </c:extLst>
        </c:ser>
        <c:dLbls>
          <c:showLegendKey val="0"/>
          <c:showVal val="0"/>
          <c:showCatName val="0"/>
          <c:showSerName val="0"/>
          <c:showPercent val="0"/>
          <c:showBubbleSize val="0"/>
        </c:dLbls>
        <c:axId val="437995352"/>
        <c:axId val="437995680"/>
      </c:scatterChart>
      <c:valAx>
        <c:axId val="43799535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l-GR"/>
                  <a:t>ν</a:t>
                </a:r>
                <a:r>
                  <a:rPr lang="en-CA"/>
                  <a:t> (MHz)</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7995680"/>
        <c:crosses val="autoZero"/>
        <c:crossBetween val="midCat"/>
      </c:valAx>
      <c:valAx>
        <c:axId val="4379956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CA"/>
                  <a:t>J</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7995352"/>
        <c:crosses val="autoZero"/>
        <c:crossBetween val="midCat"/>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CA"/>
              <a:t>Model 2 Deviations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xVal>
            <c:numRef>
              <c:f>Microwave!$J$221:$J$229</c:f>
              <c:numCache>
                <c:formatCode>0.000</c:formatCode>
                <c:ptCount val="9"/>
                <c:pt idx="0">
                  <c:v>0.3643566335849755</c:v>
                </c:pt>
                <c:pt idx="1">
                  <c:v>0.48165359313134104</c:v>
                </c:pt>
                <c:pt idx="2">
                  <c:v>1.0878923189011402E-2</c:v>
                </c:pt>
                <c:pt idx="3">
                  <c:v>1.300694269957603E-2</c:v>
                </c:pt>
                <c:pt idx="4">
                  <c:v>9.0396144893020391E-2</c:v>
                </c:pt>
                <c:pt idx="5">
                  <c:v>9.3046529749699403E-2</c:v>
                </c:pt>
                <c:pt idx="6">
                  <c:v>-0.35259878721626592</c:v>
                </c:pt>
                <c:pt idx="7">
                  <c:v>-0.3156397077254951</c:v>
                </c:pt>
                <c:pt idx="8">
                  <c:v>-0.27958055246926961</c:v>
                </c:pt>
              </c:numCache>
            </c:numRef>
          </c:xVal>
          <c:yVal>
            <c:numRef>
              <c:f>Microwave!$D$221:$D$229</c:f>
              <c:numCache>
                <c:formatCode>General</c:formatCode>
                <c:ptCount val="9"/>
                <c:pt idx="0">
                  <c:v>0</c:v>
                </c:pt>
                <c:pt idx="1">
                  <c:v>1</c:v>
                </c:pt>
                <c:pt idx="2">
                  <c:v>0</c:v>
                </c:pt>
                <c:pt idx="3">
                  <c:v>1</c:v>
                </c:pt>
                <c:pt idx="4">
                  <c:v>2</c:v>
                </c:pt>
                <c:pt idx="5">
                  <c:v>3</c:v>
                </c:pt>
                <c:pt idx="6">
                  <c:v>0</c:v>
                </c:pt>
                <c:pt idx="7">
                  <c:v>1</c:v>
                </c:pt>
                <c:pt idx="8">
                  <c:v>2</c:v>
                </c:pt>
              </c:numCache>
            </c:numRef>
          </c:yVal>
          <c:smooth val="0"/>
          <c:extLst>
            <c:ext xmlns:c16="http://schemas.microsoft.com/office/drawing/2014/chart" uri="{C3380CC4-5D6E-409C-BE32-E72D297353CC}">
              <c16:uniqueId val="{00000000-531C-4F66-B1CB-13DB736D0557}"/>
            </c:ext>
          </c:extLst>
        </c:ser>
        <c:dLbls>
          <c:showLegendKey val="0"/>
          <c:showVal val="0"/>
          <c:showCatName val="0"/>
          <c:showSerName val="0"/>
          <c:showPercent val="0"/>
          <c:showBubbleSize val="0"/>
        </c:dLbls>
        <c:axId val="437995352"/>
        <c:axId val="437995680"/>
      </c:scatterChart>
      <c:valAx>
        <c:axId val="43799535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l-GR"/>
                  <a:t>ν</a:t>
                </a:r>
                <a:r>
                  <a:rPr lang="en-CA"/>
                  <a:t> (MHz)</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7995680"/>
        <c:crosses val="autoZero"/>
        <c:crossBetween val="midCat"/>
      </c:valAx>
      <c:valAx>
        <c:axId val="4379956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CA"/>
                  <a:t>v</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7995352"/>
        <c:crosses val="autoZero"/>
        <c:crossBetween val="midCat"/>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CA"/>
              <a:t>Model 2 Deviations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xVal>
            <c:numRef>
              <c:f>Microwave!$J$221:$J$229</c:f>
              <c:numCache>
                <c:formatCode>0.000</c:formatCode>
                <c:ptCount val="9"/>
                <c:pt idx="0">
                  <c:v>0.3643566335849755</c:v>
                </c:pt>
                <c:pt idx="1">
                  <c:v>0.48165359313134104</c:v>
                </c:pt>
                <c:pt idx="2">
                  <c:v>1.0878923189011402E-2</c:v>
                </c:pt>
                <c:pt idx="3">
                  <c:v>1.300694269957603E-2</c:v>
                </c:pt>
                <c:pt idx="4">
                  <c:v>9.0396144893020391E-2</c:v>
                </c:pt>
                <c:pt idx="5">
                  <c:v>9.3046529749699403E-2</c:v>
                </c:pt>
                <c:pt idx="6">
                  <c:v>-0.35259878721626592</c:v>
                </c:pt>
                <c:pt idx="7">
                  <c:v>-0.3156397077254951</c:v>
                </c:pt>
                <c:pt idx="8">
                  <c:v>-0.27958055246926961</c:v>
                </c:pt>
              </c:numCache>
            </c:numRef>
          </c:xVal>
          <c:yVal>
            <c:numRef>
              <c:f>Microwave!$C$221:$C$229</c:f>
              <c:numCache>
                <c:formatCode>General</c:formatCode>
                <c:ptCount val="9"/>
                <c:pt idx="0">
                  <c:v>15</c:v>
                </c:pt>
                <c:pt idx="1">
                  <c:v>15</c:v>
                </c:pt>
                <c:pt idx="2">
                  <c:v>16</c:v>
                </c:pt>
                <c:pt idx="3">
                  <c:v>16</c:v>
                </c:pt>
                <c:pt idx="4">
                  <c:v>16</c:v>
                </c:pt>
                <c:pt idx="5">
                  <c:v>16</c:v>
                </c:pt>
                <c:pt idx="6">
                  <c:v>17</c:v>
                </c:pt>
                <c:pt idx="7">
                  <c:v>17</c:v>
                </c:pt>
                <c:pt idx="8">
                  <c:v>17</c:v>
                </c:pt>
              </c:numCache>
            </c:numRef>
          </c:yVal>
          <c:smooth val="0"/>
          <c:extLst>
            <c:ext xmlns:c16="http://schemas.microsoft.com/office/drawing/2014/chart" uri="{C3380CC4-5D6E-409C-BE32-E72D297353CC}">
              <c16:uniqueId val="{00000000-F2AF-4C2D-9786-237D5E3AAB21}"/>
            </c:ext>
          </c:extLst>
        </c:ser>
        <c:dLbls>
          <c:showLegendKey val="0"/>
          <c:showVal val="0"/>
          <c:showCatName val="0"/>
          <c:showSerName val="0"/>
          <c:showPercent val="0"/>
          <c:showBubbleSize val="0"/>
        </c:dLbls>
        <c:axId val="437995352"/>
        <c:axId val="437995680"/>
      </c:scatterChart>
      <c:valAx>
        <c:axId val="43799535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l-GR"/>
                  <a:t>ν</a:t>
                </a:r>
                <a:r>
                  <a:rPr lang="en-CA"/>
                  <a:t> (MHz)</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7995680"/>
        <c:crosses val="autoZero"/>
        <c:crossBetween val="midCat"/>
      </c:valAx>
      <c:valAx>
        <c:axId val="4379956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CA"/>
                  <a:t>J</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7995352"/>
        <c:crosses val="autoZero"/>
        <c:crossBetween val="midCat"/>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CA"/>
              <a:t>Model 3 Deviations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scatterChart>
        <c:scatterStyle val="lineMarker"/>
        <c:varyColors val="0"/>
        <c:ser>
          <c:idx val="0"/>
          <c:order val="0"/>
          <c:spPr>
            <a:ln w="25400" cap="rnd">
              <a:noFill/>
              <a:round/>
            </a:ln>
            <a:effectLst/>
          </c:spPr>
          <c:marker>
            <c:symbol val="circle"/>
            <c:size val="5"/>
            <c:spPr>
              <a:solidFill>
                <a:schemeClr val="accent1"/>
              </a:solidFill>
              <a:ln w="9525">
                <a:solidFill>
                  <a:schemeClr val="accent1"/>
                </a:solidFill>
              </a:ln>
              <a:effectLst/>
            </c:spPr>
          </c:marker>
          <c:xVal>
            <c:numRef>
              <c:f>Microwave!$N$221:$N$229</c:f>
              <c:numCache>
                <c:formatCode>0.000</c:formatCode>
                <c:ptCount val="9"/>
                <c:pt idx="0">
                  <c:v>0.34088907537443447</c:v>
                </c:pt>
                <c:pt idx="1">
                  <c:v>0.37198094054838293</c:v>
                </c:pt>
                <c:pt idx="2">
                  <c:v>4.3594985385425389E-2</c:v>
                </c:pt>
                <c:pt idx="3">
                  <c:v>-4.5869907869928284E-2</c:v>
                </c:pt>
                <c:pt idx="4">
                  <c:v>4.4665198878647061E-2</c:v>
                </c:pt>
                <c:pt idx="5">
                  <c:v>0.16520030561878229</c:v>
                </c:pt>
                <c:pt idx="6">
                  <c:v>-0.2532172240971704</c:v>
                </c:pt>
                <c:pt idx="7">
                  <c:v>-0.31323887577673304</c:v>
                </c:pt>
                <c:pt idx="8">
                  <c:v>-0.26326052745935158</c:v>
                </c:pt>
              </c:numCache>
            </c:numRef>
          </c:xVal>
          <c:yVal>
            <c:numRef>
              <c:f>Microwave!$D$221:$D$229</c:f>
              <c:numCache>
                <c:formatCode>General</c:formatCode>
                <c:ptCount val="9"/>
                <c:pt idx="0">
                  <c:v>0</c:v>
                </c:pt>
                <c:pt idx="1">
                  <c:v>1</c:v>
                </c:pt>
                <c:pt idx="2">
                  <c:v>0</c:v>
                </c:pt>
                <c:pt idx="3">
                  <c:v>1</c:v>
                </c:pt>
                <c:pt idx="4">
                  <c:v>2</c:v>
                </c:pt>
                <c:pt idx="5">
                  <c:v>3</c:v>
                </c:pt>
                <c:pt idx="6">
                  <c:v>0</c:v>
                </c:pt>
                <c:pt idx="7">
                  <c:v>1</c:v>
                </c:pt>
                <c:pt idx="8">
                  <c:v>2</c:v>
                </c:pt>
              </c:numCache>
            </c:numRef>
          </c:yVal>
          <c:smooth val="0"/>
          <c:extLst>
            <c:ext xmlns:c16="http://schemas.microsoft.com/office/drawing/2014/chart" uri="{C3380CC4-5D6E-409C-BE32-E72D297353CC}">
              <c16:uniqueId val="{00000000-F346-4EC4-B26B-CFCB9E206302}"/>
            </c:ext>
          </c:extLst>
        </c:ser>
        <c:dLbls>
          <c:showLegendKey val="0"/>
          <c:showVal val="0"/>
          <c:showCatName val="0"/>
          <c:showSerName val="0"/>
          <c:showPercent val="0"/>
          <c:showBubbleSize val="0"/>
        </c:dLbls>
        <c:axId val="437995352"/>
        <c:axId val="437995680"/>
      </c:scatterChart>
      <c:valAx>
        <c:axId val="437995352"/>
        <c:scaling>
          <c:orientation val="minMax"/>
        </c:scaling>
        <c:delete val="0"/>
        <c:axPos val="b"/>
        <c:majorGridlines>
          <c:spPr>
            <a:ln w="9525" cap="flat" cmpd="sng" algn="ctr">
              <a:solidFill>
                <a:schemeClr val="tx1">
                  <a:lumMod val="15000"/>
                  <a:lumOff val="85000"/>
                </a:schemeClr>
              </a:solidFill>
              <a:round/>
            </a:ln>
            <a:effectLst/>
          </c:spPr>
        </c:majorGridlines>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l-GR"/>
                  <a:t>ν</a:t>
                </a:r>
                <a:r>
                  <a:rPr lang="en-CA"/>
                  <a:t> (MHz)</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0.0" sourceLinked="0"/>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7995680"/>
        <c:crosses val="autoZero"/>
        <c:crossBetween val="midCat"/>
      </c:valAx>
      <c:valAx>
        <c:axId val="437995680"/>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CA"/>
                  <a:t>v</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en-US"/>
            </a:p>
          </c:txPr>
        </c:title>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437995352"/>
        <c:crosses val="autoZero"/>
        <c:crossBetween val="midCat"/>
        <c:majorUnit val="1"/>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0.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1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5.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6.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7.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8.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9.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0.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1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5.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6.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7.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8.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charts/style9.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13" Type="http://schemas.openxmlformats.org/officeDocument/2006/relationships/chart" Target="../charts/chart13.xml"/><Relationship Id="rId3" Type="http://schemas.openxmlformats.org/officeDocument/2006/relationships/chart" Target="../charts/chart3.xml"/><Relationship Id="rId7" Type="http://schemas.openxmlformats.org/officeDocument/2006/relationships/chart" Target="../charts/chart7.xml"/><Relationship Id="rId12" Type="http://schemas.openxmlformats.org/officeDocument/2006/relationships/chart" Target="../charts/chart12.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5" Type="http://schemas.openxmlformats.org/officeDocument/2006/relationships/chart" Target="../charts/chart1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 Id="rId14" Type="http://schemas.openxmlformats.org/officeDocument/2006/relationships/chart" Target="../charts/chart14.xml"/></Relationships>
</file>

<file path=xl/drawings/drawing1.xml><?xml version="1.0" encoding="utf-8"?>
<xdr:wsDr xmlns:xdr="http://schemas.openxmlformats.org/drawingml/2006/spreadsheetDrawing" xmlns:a="http://schemas.openxmlformats.org/drawingml/2006/main">
  <xdr:twoCellAnchor>
    <xdr:from>
      <xdr:col>3</xdr:col>
      <xdr:colOff>219075</xdr:colOff>
      <xdr:row>7</xdr:row>
      <xdr:rowOff>166687</xdr:rowOff>
    </xdr:from>
    <xdr:to>
      <xdr:col>13</xdr:col>
      <xdr:colOff>581025</xdr:colOff>
      <xdr:row>30</xdr:row>
      <xdr:rowOff>38100</xdr:rowOff>
    </xdr:to>
    <xdr:graphicFrame macro="">
      <xdr:nvGraphicFramePr>
        <xdr:cNvPr id="2" name="Chart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333376</xdr:colOff>
      <xdr:row>85</xdr:row>
      <xdr:rowOff>76200</xdr:rowOff>
    </xdr:from>
    <xdr:to>
      <xdr:col>15</xdr:col>
      <xdr:colOff>142875</xdr:colOff>
      <xdr:row>100</xdr:row>
      <xdr:rowOff>0</xdr:rowOff>
    </xdr:to>
    <xdr:graphicFrame macro="">
      <xdr:nvGraphicFramePr>
        <xdr:cNvPr id="3" name="Chart 2">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295276</xdr:colOff>
      <xdr:row>141</xdr:row>
      <xdr:rowOff>66675</xdr:rowOff>
    </xdr:from>
    <xdr:to>
      <xdr:col>14</xdr:col>
      <xdr:colOff>1171575</xdr:colOff>
      <xdr:row>158</xdr:row>
      <xdr:rowOff>142875</xdr:rowOff>
    </xdr:to>
    <xdr:graphicFrame macro="">
      <xdr:nvGraphicFramePr>
        <xdr:cNvPr id="4" name="Chart 3">
          <a:extLst>
            <a:ext uri="{FF2B5EF4-FFF2-40B4-BE49-F238E27FC236}">
              <a16:creationId xmlns:a16="http://schemas.microsoft.com/office/drawing/2014/main" id="{00000000-0008-0000-00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4</xdr:col>
      <xdr:colOff>38100</xdr:colOff>
      <xdr:row>179</xdr:row>
      <xdr:rowOff>66675</xdr:rowOff>
    </xdr:from>
    <xdr:to>
      <xdr:col>10</xdr:col>
      <xdr:colOff>209550</xdr:colOff>
      <xdr:row>197</xdr:row>
      <xdr:rowOff>28575</xdr:rowOff>
    </xdr:to>
    <xdr:graphicFrame macro="">
      <xdr:nvGraphicFramePr>
        <xdr:cNvPr id="5" name="Chart 4">
          <a:extLst>
            <a:ext uri="{FF2B5EF4-FFF2-40B4-BE49-F238E27FC236}">
              <a16:creationId xmlns:a16="http://schemas.microsoft.com/office/drawing/2014/main" id="{00000000-0008-0000-00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171449</xdr:colOff>
      <xdr:row>238</xdr:row>
      <xdr:rowOff>123825</xdr:rowOff>
    </xdr:from>
    <xdr:to>
      <xdr:col>6</xdr:col>
      <xdr:colOff>143174</xdr:colOff>
      <xdr:row>256</xdr:row>
      <xdr:rowOff>6825</xdr:rowOff>
    </xdr:to>
    <xdr:graphicFrame macro="">
      <xdr:nvGraphicFramePr>
        <xdr:cNvPr id="6" name="Chart 5">
          <a:extLst>
            <a:ext uri="{FF2B5EF4-FFF2-40B4-BE49-F238E27FC236}">
              <a16:creationId xmlns:a16="http://schemas.microsoft.com/office/drawing/2014/main" id="{00000000-0008-0000-00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6</xdr:col>
      <xdr:colOff>704849</xdr:colOff>
      <xdr:row>238</xdr:row>
      <xdr:rowOff>95250</xdr:rowOff>
    </xdr:from>
    <xdr:to>
      <xdr:col>13</xdr:col>
      <xdr:colOff>28874</xdr:colOff>
      <xdr:row>255</xdr:row>
      <xdr:rowOff>168750</xdr:rowOff>
    </xdr:to>
    <xdr:graphicFrame macro="">
      <xdr:nvGraphicFramePr>
        <xdr:cNvPr id="7" name="Chart 6">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133349</xdr:colOff>
      <xdr:row>257</xdr:row>
      <xdr:rowOff>38100</xdr:rowOff>
    </xdr:from>
    <xdr:to>
      <xdr:col>6</xdr:col>
      <xdr:colOff>105074</xdr:colOff>
      <xdr:row>274</xdr:row>
      <xdr:rowOff>111600</xdr:rowOff>
    </xdr:to>
    <xdr:graphicFrame macro="">
      <xdr:nvGraphicFramePr>
        <xdr:cNvPr id="8" name="Chart 7">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6</xdr:col>
      <xdr:colOff>695324</xdr:colOff>
      <xdr:row>257</xdr:row>
      <xdr:rowOff>57150</xdr:rowOff>
    </xdr:from>
    <xdr:to>
      <xdr:col>13</xdr:col>
      <xdr:colOff>19349</xdr:colOff>
      <xdr:row>274</xdr:row>
      <xdr:rowOff>130650</xdr:rowOff>
    </xdr:to>
    <xdr:graphicFrame macro="">
      <xdr:nvGraphicFramePr>
        <xdr:cNvPr id="10" name="Chart 9">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0</xdr:col>
      <xdr:colOff>133349</xdr:colOff>
      <xdr:row>275</xdr:row>
      <xdr:rowOff>123825</xdr:rowOff>
    </xdr:from>
    <xdr:to>
      <xdr:col>6</xdr:col>
      <xdr:colOff>105074</xdr:colOff>
      <xdr:row>293</xdr:row>
      <xdr:rowOff>6825</xdr:rowOff>
    </xdr:to>
    <xdr:graphicFrame macro="">
      <xdr:nvGraphicFramePr>
        <xdr:cNvPr id="11" name="Chart 10">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6</xdr:col>
      <xdr:colOff>704849</xdr:colOff>
      <xdr:row>275</xdr:row>
      <xdr:rowOff>133350</xdr:rowOff>
    </xdr:from>
    <xdr:to>
      <xdr:col>13</xdr:col>
      <xdr:colOff>28874</xdr:colOff>
      <xdr:row>293</xdr:row>
      <xdr:rowOff>16350</xdr:rowOff>
    </xdr:to>
    <xdr:graphicFrame macro="">
      <xdr:nvGraphicFramePr>
        <xdr:cNvPr id="12" name="Chart 11">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0</xdr:col>
      <xdr:colOff>152399</xdr:colOff>
      <xdr:row>294</xdr:row>
      <xdr:rowOff>85725</xdr:rowOff>
    </xdr:from>
    <xdr:to>
      <xdr:col>6</xdr:col>
      <xdr:colOff>124124</xdr:colOff>
      <xdr:row>311</xdr:row>
      <xdr:rowOff>159225</xdr:rowOff>
    </xdr:to>
    <xdr:graphicFrame macro="">
      <xdr:nvGraphicFramePr>
        <xdr:cNvPr id="13" name="Chart 12">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6</xdr:col>
      <xdr:colOff>733424</xdr:colOff>
      <xdr:row>294</xdr:row>
      <xdr:rowOff>19050</xdr:rowOff>
    </xdr:from>
    <xdr:to>
      <xdr:col>13</xdr:col>
      <xdr:colOff>57449</xdr:colOff>
      <xdr:row>311</xdr:row>
      <xdr:rowOff>92550</xdr:rowOff>
    </xdr:to>
    <xdr:graphicFrame macro="">
      <xdr:nvGraphicFramePr>
        <xdr:cNvPr id="14" name="Chart 13">
          <a:extLst>
            <a:ext uri="{FF2B5EF4-FFF2-40B4-BE49-F238E27FC236}">
              <a16:creationId xmlns:a16="http://schemas.microsoft.com/office/drawing/2014/main" id="{00000000-0008-0000-0000-00000E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2"/>
        </a:graphicData>
      </a:graphic>
    </xdr:graphicFrame>
    <xdr:clientData/>
  </xdr:twoCellAnchor>
  <xdr:twoCellAnchor>
    <xdr:from>
      <xdr:col>9</xdr:col>
      <xdr:colOff>295274</xdr:colOff>
      <xdr:row>100</xdr:row>
      <xdr:rowOff>100012</xdr:rowOff>
    </xdr:from>
    <xdr:to>
      <xdr:col>15</xdr:col>
      <xdr:colOff>104774</xdr:colOff>
      <xdr:row>116</xdr:row>
      <xdr:rowOff>57150</xdr:rowOff>
    </xdr:to>
    <xdr:graphicFrame macro="">
      <xdr:nvGraphicFramePr>
        <xdr:cNvPr id="9" name="Chart 8">
          <a:extLst>
            <a:ext uri="{FF2B5EF4-FFF2-40B4-BE49-F238E27FC236}">
              <a16:creationId xmlns:a16="http://schemas.microsoft.com/office/drawing/2014/main" id="{00000000-0008-0000-0000-000009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3"/>
        </a:graphicData>
      </a:graphic>
    </xdr:graphicFrame>
    <xdr:clientData/>
  </xdr:twoCellAnchor>
  <xdr:twoCellAnchor>
    <xdr:from>
      <xdr:col>11</xdr:col>
      <xdr:colOff>328612</xdr:colOff>
      <xdr:row>181</xdr:row>
      <xdr:rowOff>4762</xdr:rowOff>
    </xdr:from>
    <xdr:to>
      <xdr:col>16</xdr:col>
      <xdr:colOff>700087</xdr:colOff>
      <xdr:row>195</xdr:row>
      <xdr:rowOff>80962</xdr:rowOff>
    </xdr:to>
    <xdr:graphicFrame macro="">
      <xdr:nvGraphicFramePr>
        <xdr:cNvPr id="15" name="Chart 14">
          <a:extLst>
            <a:ext uri="{FF2B5EF4-FFF2-40B4-BE49-F238E27FC236}">
              <a16:creationId xmlns:a16="http://schemas.microsoft.com/office/drawing/2014/main" id="{00000000-0008-0000-0000-00000F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4"/>
        </a:graphicData>
      </a:graphic>
    </xdr:graphicFrame>
    <xdr:clientData/>
  </xdr:twoCellAnchor>
  <xdr:twoCellAnchor>
    <xdr:from>
      <xdr:col>16</xdr:col>
      <xdr:colOff>0</xdr:colOff>
      <xdr:row>86</xdr:row>
      <xdr:rowOff>0</xdr:rowOff>
    </xdr:from>
    <xdr:to>
      <xdr:col>22</xdr:col>
      <xdr:colOff>133349</xdr:colOff>
      <xdr:row>100</xdr:row>
      <xdr:rowOff>114300</xdr:rowOff>
    </xdr:to>
    <xdr:graphicFrame macro="">
      <xdr:nvGraphicFramePr>
        <xdr:cNvPr id="16" name="Chart 15">
          <a:extLst>
            <a:ext uri="{FF2B5EF4-FFF2-40B4-BE49-F238E27FC236}">
              <a16:creationId xmlns:a16="http://schemas.microsoft.com/office/drawing/2014/main" id="{00000000-0008-0000-0000-000010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5"/>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237"/>
  <sheetViews>
    <sheetView tabSelected="1" topLeftCell="A286" workbookViewId="0">
      <selection activeCell="P245" sqref="P245"/>
    </sheetView>
  </sheetViews>
  <sheetFormatPr defaultRowHeight="15" x14ac:dyDescent="0.25"/>
  <cols>
    <col min="1" max="1" width="14.140625" customWidth="1"/>
    <col min="2" max="2" width="15.140625" customWidth="1"/>
    <col min="3" max="3" width="12.140625" bestFit="1" customWidth="1"/>
    <col min="4" max="4" width="13.7109375" bestFit="1" customWidth="1"/>
    <col min="5" max="5" width="11.5703125" bestFit="1" customWidth="1"/>
    <col min="6" max="6" width="12" bestFit="1" customWidth="1"/>
    <col min="7" max="7" width="17.85546875" bestFit="1" customWidth="1"/>
    <col min="8" max="8" width="10" bestFit="1" customWidth="1"/>
    <col min="9" max="9" width="12" bestFit="1" customWidth="1"/>
    <col min="10" max="10" width="9.5703125" bestFit="1" customWidth="1"/>
    <col min="11" max="11" width="17.85546875" bestFit="1" customWidth="1"/>
    <col min="13" max="14" width="12" bestFit="1" customWidth="1"/>
    <col min="15" max="15" width="17.85546875" customWidth="1"/>
    <col min="16" max="16" width="12" bestFit="1" customWidth="1"/>
    <col min="17" max="17" width="13.5703125" customWidth="1"/>
    <col min="18" max="18" width="13.85546875" customWidth="1"/>
    <col min="19" max="19" width="15.85546875" customWidth="1"/>
    <col min="20" max="20" width="12" bestFit="1" customWidth="1"/>
  </cols>
  <sheetData>
    <row r="1" spans="1:5" x14ac:dyDescent="0.25">
      <c r="A1" t="s">
        <v>5</v>
      </c>
    </row>
    <row r="3" spans="1:5" ht="17.25" x14ac:dyDescent="0.25">
      <c r="A3" t="s">
        <v>8</v>
      </c>
      <c r="B3" t="s">
        <v>7</v>
      </c>
    </row>
    <row r="4" spans="1:5" x14ac:dyDescent="0.25">
      <c r="B4" t="s">
        <v>1</v>
      </c>
      <c r="C4" t="s">
        <v>68</v>
      </c>
      <c r="D4" t="s">
        <v>2</v>
      </c>
      <c r="E4" t="s">
        <v>3</v>
      </c>
    </row>
    <row r="5" spans="1:5" x14ac:dyDescent="0.25">
      <c r="A5" t="s">
        <v>4</v>
      </c>
      <c r="B5" s="2">
        <v>132.90545193299999</v>
      </c>
      <c r="C5" s="3">
        <v>2.4E-8</v>
      </c>
      <c r="D5" s="4">
        <v>100</v>
      </c>
      <c r="E5" s="5">
        <v>3.5</v>
      </c>
    </row>
    <row r="6" spans="1:5" x14ac:dyDescent="0.25">
      <c r="A6" t="s">
        <v>6</v>
      </c>
      <c r="B6" s="2">
        <v>126.904473</v>
      </c>
      <c r="C6" s="3">
        <v>3.9999999999999998E-6</v>
      </c>
      <c r="D6" s="4">
        <v>100</v>
      </c>
      <c r="E6" s="5">
        <v>2.5</v>
      </c>
    </row>
    <row r="7" spans="1:5" x14ac:dyDescent="0.25">
      <c r="B7" s="1">
        <f>B5*B6/(B5+B6)</f>
        <v>64.917829219702412</v>
      </c>
    </row>
    <row r="8" spans="1:5" x14ac:dyDescent="0.25">
      <c r="A8" t="s">
        <v>0</v>
      </c>
      <c r="B8" t="s">
        <v>68</v>
      </c>
    </row>
    <row r="9" spans="1:5" x14ac:dyDescent="0.25">
      <c r="A9" s="6">
        <v>22567.02</v>
      </c>
      <c r="B9">
        <v>0.1</v>
      </c>
      <c r="C9">
        <v>1</v>
      </c>
    </row>
    <row r="10" spans="1:5" x14ac:dyDescent="0.25">
      <c r="A10" s="6">
        <v>22632.26</v>
      </c>
      <c r="B10">
        <v>0.1</v>
      </c>
      <c r="C10">
        <v>1</v>
      </c>
    </row>
    <row r="11" spans="1:5" x14ac:dyDescent="0.25">
      <c r="A11" s="6">
        <v>23838.47</v>
      </c>
      <c r="B11">
        <v>0.1</v>
      </c>
      <c r="C11">
        <v>1</v>
      </c>
    </row>
    <row r="12" spans="1:5" x14ac:dyDescent="0.25">
      <c r="A12" s="6">
        <v>23907.7</v>
      </c>
      <c r="B12">
        <v>0.1</v>
      </c>
      <c r="C12">
        <v>1</v>
      </c>
    </row>
    <row r="13" spans="1:5" x14ac:dyDescent="0.25">
      <c r="A13" s="6">
        <v>23976.959999999999</v>
      </c>
      <c r="B13">
        <v>0.1</v>
      </c>
      <c r="C13">
        <v>1</v>
      </c>
    </row>
    <row r="14" spans="1:5" x14ac:dyDescent="0.25">
      <c r="A14" s="6">
        <v>24046.400000000001</v>
      </c>
      <c r="B14">
        <v>0.1</v>
      </c>
      <c r="C14">
        <v>1</v>
      </c>
    </row>
    <row r="15" spans="1:5" x14ac:dyDescent="0.25">
      <c r="A15" s="6">
        <v>25313.66</v>
      </c>
      <c r="B15">
        <v>0.1</v>
      </c>
      <c r="C15">
        <v>1</v>
      </c>
    </row>
    <row r="16" spans="1:5" x14ac:dyDescent="0.25">
      <c r="A16" s="6">
        <v>25387.040000000001</v>
      </c>
      <c r="B16">
        <v>0.1</v>
      </c>
      <c r="C16">
        <v>1</v>
      </c>
    </row>
    <row r="17" spans="1:3" x14ac:dyDescent="0.25">
      <c r="A17" s="6">
        <v>25460.53</v>
      </c>
      <c r="B17">
        <v>0.1</v>
      </c>
      <c r="C17">
        <v>1</v>
      </c>
    </row>
    <row r="18" spans="1:3" x14ac:dyDescent="0.25">
      <c r="A18" s="6"/>
    </row>
    <row r="19" spans="1:3" x14ac:dyDescent="0.25">
      <c r="A19" s="6" t="s">
        <v>48</v>
      </c>
      <c r="B19" t="s">
        <v>49</v>
      </c>
      <c r="C19" t="s">
        <v>50</v>
      </c>
    </row>
    <row r="20" spans="1:3" x14ac:dyDescent="0.25">
      <c r="A20" s="6">
        <f>670*2*16</f>
        <v>21440</v>
      </c>
    </row>
    <row r="21" spans="1:3" x14ac:dyDescent="0.25">
      <c r="A21" s="6">
        <f>670*2*17</f>
        <v>22780</v>
      </c>
      <c r="B21" s="6">
        <f>1390*16</f>
        <v>22240</v>
      </c>
      <c r="C21" s="6">
        <f>1414*16</f>
        <v>22624</v>
      </c>
    </row>
    <row r="22" spans="1:3" x14ac:dyDescent="0.25">
      <c r="A22" s="6">
        <f>670*2*18</f>
        <v>24120</v>
      </c>
      <c r="B22" s="6">
        <f>1390*17</f>
        <v>23630</v>
      </c>
      <c r="C22" s="6">
        <f>1414*17</f>
        <v>24038</v>
      </c>
    </row>
    <row r="23" spans="1:3" x14ac:dyDescent="0.25">
      <c r="A23" s="6">
        <f>670*2*19</f>
        <v>25460</v>
      </c>
      <c r="B23" s="6">
        <f>1390*18</f>
        <v>25020</v>
      </c>
      <c r="C23" s="6">
        <f>1414*18</f>
        <v>25452</v>
      </c>
    </row>
    <row r="25" spans="1:3" x14ac:dyDescent="0.25">
      <c r="A25" s="6"/>
    </row>
    <row r="26" spans="1:3" x14ac:dyDescent="0.25">
      <c r="A26" s="6"/>
    </row>
    <row r="27" spans="1:3" x14ac:dyDescent="0.25">
      <c r="A27" s="6"/>
    </row>
    <row r="28" spans="1:3" x14ac:dyDescent="0.25">
      <c r="A28" s="6"/>
    </row>
    <row r="29" spans="1:3" x14ac:dyDescent="0.25">
      <c r="A29" s="6"/>
    </row>
    <row r="30" spans="1:3" x14ac:dyDescent="0.25">
      <c r="A30" s="6"/>
    </row>
    <row r="32" spans="1:3" s="10" customFormat="1" x14ac:dyDescent="0.25">
      <c r="A32" s="10" t="s">
        <v>69</v>
      </c>
    </row>
    <row r="34" spans="1:21" x14ac:dyDescent="0.25">
      <c r="B34" t="s">
        <v>9</v>
      </c>
      <c r="C34" t="s">
        <v>10</v>
      </c>
      <c r="E34" t="s">
        <v>12</v>
      </c>
      <c r="F34" t="s">
        <v>14</v>
      </c>
      <c r="G34" t="s">
        <v>15</v>
      </c>
      <c r="H34" t="s">
        <v>16</v>
      </c>
      <c r="J34" t="s">
        <v>13</v>
      </c>
      <c r="K34" t="s">
        <v>14</v>
      </c>
      <c r="L34" t="s">
        <v>15</v>
      </c>
      <c r="M34" t="s">
        <v>18</v>
      </c>
      <c r="N34" t="s">
        <v>16</v>
      </c>
      <c r="P34" t="s">
        <v>51</v>
      </c>
      <c r="Q34" t="s">
        <v>14</v>
      </c>
      <c r="R34" t="s">
        <v>15</v>
      </c>
      <c r="S34" t="s">
        <v>18</v>
      </c>
      <c r="T34" t="s">
        <v>36</v>
      </c>
      <c r="U34" t="s">
        <v>16</v>
      </c>
    </row>
    <row r="35" spans="1:21" x14ac:dyDescent="0.25">
      <c r="A35" s="6">
        <f>A9</f>
        <v>22567.02</v>
      </c>
      <c r="B35" s="6">
        <f t="shared" ref="B35:B43" si="0">B$44</f>
        <v>24125.56</v>
      </c>
      <c r="C35" s="6">
        <f>($A35-B35)^2</f>
        <v>2429046.9316000026</v>
      </c>
      <c r="D35" s="6"/>
      <c r="E35">
        <f>INDEX(F$44:G$44,MATCH(H35,F35:G35,0))</f>
        <v>23494.801666589708</v>
      </c>
      <c r="F35">
        <f>($A35-F$44)^2</f>
        <v>860778.82085997611</v>
      </c>
      <c r="G35">
        <f>($A35-G$44)^2</f>
        <v>7952719.6055047056</v>
      </c>
      <c r="H35">
        <f>MIN(F35:G35)</f>
        <v>860778.82085997611</v>
      </c>
      <c r="J35">
        <f>INDEX(K$44:M$44,MATCH(N35,K35:M35,0))</f>
        <v>22599.639949702298</v>
      </c>
      <c r="K35">
        <f>($A35-K$44)^2</f>
        <v>1064.0611185803969</v>
      </c>
      <c r="L35">
        <f>($A35-L$44)^2</f>
        <v>1891621.8352958541</v>
      </c>
      <c r="M35">
        <f>($A35-M$44)^2</f>
        <v>7952719.6020699106</v>
      </c>
      <c r="N35">
        <f>MIN(K35:M35)</f>
        <v>1064.0611185803969</v>
      </c>
      <c r="P35">
        <f>INDEX(Q$44:T$44,MATCH(U35,Q35:T35,0))</f>
        <v>22599.639999999577</v>
      </c>
      <c r="Q35">
        <f>($A35-Q$44)^2</f>
        <v>1064.0643999724018</v>
      </c>
      <c r="R35">
        <f>($A35-R$44)^2</f>
        <v>1705805.7842231721</v>
      </c>
      <c r="S35">
        <f>($A35-S$44)^2</f>
        <v>2087042.5155997367</v>
      </c>
      <c r="T35">
        <f>($A35-T$44)^2</f>
        <v>7952719.6032139054</v>
      </c>
      <c r="U35">
        <f>MIN(Q35:T35)</f>
        <v>1064.0643999724018</v>
      </c>
    </row>
    <row r="36" spans="1:21" x14ac:dyDescent="0.25">
      <c r="A36" s="6">
        <f>A10</f>
        <v>22632.26</v>
      </c>
      <c r="B36" s="6">
        <f t="shared" si="0"/>
        <v>24125.56</v>
      </c>
      <c r="C36" s="6">
        <f t="shared" ref="C36:C43" si="1">($A36-B36)^2</f>
        <v>2229944.8900000085</v>
      </c>
      <c r="D36" s="6"/>
      <c r="E36">
        <f t="shared" ref="E36:E43" si="2">INDEX(F$44:G$44,MATCH(H36,F36:G36,0))</f>
        <v>23494.801666589708</v>
      </c>
      <c r="F36">
        <f t="shared" ref="F36:G43" si="3">($A36-F$44)^2</f>
        <v>743978.12660335458</v>
      </c>
      <c r="G36">
        <f t="shared" si="3"/>
        <v>7589014.8691849895</v>
      </c>
      <c r="H36">
        <f t="shared" ref="H36:H43" si="4">MIN(F36:G36)</f>
        <v>743978.12660335458</v>
      </c>
      <c r="J36">
        <f t="shared" ref="J36:J43" si="5">INDEX(K$44:M$44,MATCH(N36,K36:M36,0))</f>
        <v>22599.639949702298</v>
      </c>
      <c r="K36">
        <f t="shared" ref="K36:M43" si="6">($A36-K$44)^2</f>
        <v>1064.0676814245301</v>
      </c>
      <c r="L36">
        <f t="shared" si="6"/>
        <v>1716420.8020124414</v>
      </c>
      <c r="M36">
        <f t="shared" si="6"/>
        <v>7589014.8658296559</v>
      </c>
      <c r="N36">
        <f t="shared" ref="N36:N43" si="7">MIN(K36:M36)</f>
        <v>1064.0676814245301</v>
      </c>
      <c r="P36">
        <f t="shared" ref="P36:P42" si="8">INDEX(Q$44:T$44,MATCH(U36,Q36:T36,0))</f>
        <v>22599.639999999577</v>
      </c>
      <c r="Q36">
        <f t="shared" ref="Q36:T43" si="9">($A36-Q$44)^2</f>
        <v>1064.0644000274651</v>
      </c>
      <c r="R36">
        <f t="shared" si="9"/>
        <v>1539646.6806232685</v>
      </c>
      <c r="S36">
        <f t="shared" si="9"/>
        <v>1902799.5363997542</v>
      </c>
      <c r="T36">
        <f t="shared" si="9"/>
        <v>7589014.8669471852</v>
      </c>
      <c r="U36">
        <f t="shared" ref="U36:U43" si="10">MIN(Q36:T36)</f>
        <v>1064.0644000274651</v>
      </c>
    </row>
    <row r="37" spans="1:21" x14ac:dyDescent="0.25">
      <c r="A37" s="6">
        <f>A11</f>
        <v>23838.47</v>
      </c>
      <c r="B37" s="6">
        <f t="shared" si="0"/>
        <v>24125.56</v>
      </c>
      <c r="C37" s="6">
        <f t="shared" si="1"/>
        <v>82420.668100000083</v>
      </c>
      <c r="D37" s="6"/>
      <c r="E37">
        <f t="shared" si="2"/>
        <v>23494.801666589708</v>
      </c>
      <c r="F37">
        <f t="shared" si="3"/>
        <v>118107.92338900809</v>
      </c>
      <c r="G37">
        <f t="shared" si="3"/>
        <v>2398182.6093039475</v>
      </c>
      <c r="H37">
        <f t="shared" si="4"/>
        <v>118107.92338900809</v>
      </c>
      <c r="J37">
        <f t="shared" si="5"/>
        <v>23942.382437794437</v>
      </c>
      <c r="K37">
        <f t="shared" si="6"/>
        <v>1534699.8935206106</v>
      </c>
      <c r="L37">
        <f t="shared" si="6"/>
        <v>10797.794728382405</v>
      </c>
      <c r="M37">
        <f t="shared" si="6"/>
        <v>2398182.6074177627</v>
      </c>
      <c r="N37">
        <f t="shared" si="7"/>
        <v>10797.794728382405</v>
      </c>
      <c r="P37">
        <f t="shared" si="8"/>
        <v>23873.084999999301</v>
      </c>
      <c r="Q37">
        <f t="shared" si="9"/>
        <v>1534699.7689010499</v>
      </c>
      <c r="R37">
        <f t="shared" si="9"/>
        <v>1198.1982249515024</v>
      </c>
      <c r="S37">
        <f t="shared" si="9"/>
        <v>30001.704099968192</v>
      </c>
      <c r="T37">
        <f t="shared" si="9"/>
        <v>2398182.6080459766</v>
      </c>
      <c r="U37">
        <f t="shared" si="10"/>
        <v>1198.1982249515024</v>
      </c>
    </row>
    <row r="38" spans="1:21" x14ac:dyDescent="0.25">
      <c r="A38" s="6">
        <f>A12</f>
        <v>23907.7</v>
      </c>
      <c r="B38" s="6">
        <f t="shared" si="0"/>
        <v>24125.56</v>
      </c>
      <c r="C38" s="6">
        <f t="shared" si="1"/>
        <v>47462.979600000253</v>
      </c>
      <c r="D38" s="6"/>
      <c r="E38">
        <f t="shared" si="2"/>
        <v>23494.801666589708</v>
      </c>
      <c r="F38">
        <f t="shared" si="3"/>
        <v>170485.03373299688</v>
      </c>
      <c r="G38">
        <f t="shared" si="3"/>
        <v>2188555.3230809765</v>
      </c>
      <c r="H38">
        <f t="shared" si="4"/>
        <v>170485.03373299688</v>
      </c>
      <c r="J38">
        <f t="shared" si="5"/>
        <v>23942.382437794437</v>
      </c>
      <c r="K38">
        <f t="shared" si="6"/>
        <v>1711021.0951848296</v>
      </c>
      <c r="L38">
        <f t="shared" si="6"/>
        <v>1202.8714913649108</v>
      </c>
      <c r="M38">
        <f t="shared" si="6"/>
        <v>2188555.3212791132</v>
      </c>
      <c r="N38">
        <f t="shared" si="7"/>
        <v>1202.8714913649108</v>
      </c>
      <c r="P38">
        <f t="shared" si="8"/>
        <v>23873.084999999301</v>
      </c>
      <c r="Q38">
        <f t="shared" si="9"/>
        <v>1711020.9636011075</v>
      </c>
      <c r="R38">
        <f t="shared" si="9"/>
        <v>1198.1982250484675</v>
      </c>
      <c r="S38">
        <f t="shared" si="9"/>
        <v>10811.840399980996</v>
      </c>
      <c r="T38">
        <f t="shared" si="9"/>
        <v>2188555.3218792425</v>
      </c>
      <c r="U38">
        <f t="shared" si="10"/>
        <v>1198.1982250484675</v>
      </c>
    </row>
    <row r="39" spans="1:21" x14ac:dyDescent="0.25">
      <c r="A39" s="6">
        <f>A13</f>
        <v>23976.959999999999</v>
      </c>
      <c r="B39" s="6">
        <f t="shared" si="0"/>
        <v>24125.56</v>
      </c>
      <c r="C39" s="6">
        <f t="shared" si="1"/>
        <v>22081.96000000065</v>
      </c>
      <c r="D39" s="6"/>
      <c r="E39">
        <f t="shared" si="2"/>
        <v>23494.801666589708</v>
      </c>
      <c r="F39">
        <f t="shared" si="3"/>
        <v>232476.65847698899</v>
      </c>
      <c r="G39">
        <f t="shared" si="3"/>
        <v>1988429.0147579839</v>
      </c>
      <c r="H39">
        <f t="shared" si="4"/>
        <v>232476.65847698899</v>
      </c>
      <c r="J39">
        <f t="shared" si="5"/>
        <v>23942.382437794437</v>
      </c>
      <c r="K39">
        <f t="shared" si="6"/>
        <v>1897010.5209520631</v>
      </c>
      <c r="L39">
        <f t="shared" si="6"/>
        <v>1195.6078080795492</v>
      </c>
      <c r="M39">
        <f t="shared" si="6"/>
        <v>1988429.0130404788</v>
      </c>
      <c r="N39">
        <f t="shared" si="7"/>
        <v>1195.6078080795492</v>
      </c>
      <c r="P39">
        <f t="shared" si="8"/>
        <v>24011.679999999909</v>
      </c>
      <c r="Q39">
        <f t="shared" si="9"/>
        <v>1897010.3824011616</v>
      </c>
      <c r="R39">
        <f t="shared" si="9"/>
        <v>10790.015625145112</v>
      </c>
      <c r="S39">
        <f t="shared" si="9"/>
        <v>1205.4783999937654</v>
      </c>
      <c r="T39">
        <f t="shared" si="9"/>
        <v>1988429.013612512</v>
      </c>
      <c r="U39">
        <f t="shared" si="10"/>
        <v>1205.4783999937654</v>
      </c>
    </row>
    <row r="40" spans="1:21" x14ac:dyDescent="0.25">
      <c r="A40" s="6">
        <f>A14</f>
        <v>24046.400000000001</v>
      </c>
      <c r="B40" s="6">
        <f t="shared" si="0"/>
        <v>24125.56</v>
      </c>
      <c r="C40" s="6">
        <f t="shared" si="1"/>
        <v>6266.3055999999769</v>
      </c>
      <c r="D40" s="6"/>
      <c r="E40">
        <f t="shared" si="2"/>
        <v>23494.801666589708</v>
      </c>
      <c r="F40">
        <f t="shared" si="3"/>
        <v>304260.72142101271</v>
      </c>
      <c r="G40">
        <f t="shared" si="3"/>
        <v>1797413.9256348342</v>
      </c>
      <c r="H40">
        <f t="shared" si="4"/>
        <v>304260.72142101271</v>
      </c>
      <c r="J40">
        <f t="shared" si="5"/>
        <v>23942.382437794437</v>
      </c>
      <c r="K40">
        <f t="shared" si="6"/>
        <v>2093114.6431374147</v>
      </c>
      <c r="L40">
        <f t="shared" si="6"/>
        <v>10819.653247188564</v>
      </c>
      <c r="M40">
        <f t="shared" si="6"/>
        <v>1797413.9240019061</v>
      </c>
      <c r="N40">
        <f t="shared" si="7"/>
        <v>10819.653247188564</v>
      </c>
      <c r="P40">
        <f t="shared" si="8"/>
        <v>24011.679999999909</v>
      </c>
      <c r="Q40">
        <f t="shared" si="9"/>
        <v>2093114.4976012269</v>
      </c>
      <c r="R40">
        <f t="shared" si="9"/>
        <v>30038.089225242926</v>
      </c>
      <c r="S40">
        <f t="shared" si="9"/>
        <v>1205.4784000063964</v>
      </c>
      <c r="T40">
        <f t="shared" si="9"/>
        <v>1797413.92454577</v>
      </c>
      <c r="U40">
        <f t="shared" si="10"/>
        <v>1205.4784000063964</v>
      </c>
    </row>
    <row r="41" spans="1:21" x14ac:dyDescent="0.25">
      <c r="A41" s="6">
        <f>A15</f>
        <v>25313.66</v>
      </c>
      <c r="B41" s="6">
        <f t="shared" si="0"/>
        <v>24125.56</v>
      </c>
      <c r="C41" s="6">
        <f t="shared" si="1"/>
        <v>1411581.6099999966</v>
      </c>
      <c r="D41" s="6"/>
      <c r="E41">
        <f t="shared" si="2"/>
        <v>25387.076667073325</v>
      </c>
      <c r="F41">
        <f t="shared" si="3"/>
        <v>3308245.6370160626</v>
      </c>
      <c r="G41">
        <f t="shared" si="3"/>
        <v>5390.0070041554118</v>
      </c>
      <c r="H41">
        <f t="shared" si="4"/>
        <v>5390.0070041554118</v>
      </c>
      <c r="J41">
        <f t="shared" si="5"/>
        <v>25387.076666464331</v>
      </c>
      <c r="K41">
        <f t="shared" si="6"/>
        <v>7365904.8334179418</v>
      </c>
      <c r="L41">
        <f t="shared" si="6"/>
        <v>1880402.1526084326</v>
      </c>
      <c r="M41">
        <f t="shared" si="6"/>
        <v>5390.0069147347913</v>
      </c>
      <c r="N41">
        <f t="shared" si="7"/>
        <v>5390.0069147347913</v>
      </c>
      <c r="P41">
        <f t="shared" si="8"/>
        <v>25387.076666667162</v>
      </c>
      <c r="Q41">
        <f t="shared" si="9"/>
        <v>7365904.5604022928</v>
      </c>
      <c r="R41">
        <f t="shared" si="9"/>
        <v>2075256.3306270146</v>
      </c>
      <c r="S41">
        <f t="shared" si="9"/>
        <v>1695151.9204002358</v>
      </c>
      <c r="T41">
        <f t="shared" si="9"/>
        <v>5390.0069445172703</v>
      </c>
      <c r="U41">
        <f t="shared" si="10"/>
        <v>5390.0069445172703</v>
      </c>
    </row>
    <row r="42" spans="1:21" x14ac:dyDescent="0.25">
      <c r="A42" s="6">
        <f>A16</f>
        <v>25387.040000000001</v>
      </c>
      <c r="B42" s="6">
        <f t="shared" si="0"/>
        <v>24125.56</v>
      </c>
      <c r="C42" s="6">
        <f t="shared" si="1"/>
        <v>1591331.7903999989</v>
      </c>
      <c r="D42" s="6"/>
      <c r="E42">
        <f t="shared" si="2"/>
        <v>25387.076667073325</v>
      </c>
      <c r="F42">
        <f t="shared" si="3"/>
        <v>3580565.9104273608</v>
      </c>
      <c r="G42">
        <f t="shared" si="3"/>
        <v>1.3444742661307056E-3</v>
      </c>
      <c r="H42">
        <f t="shared" si="4"/>
        <v>1.3444742661307056E-3</v>
      </c>
      <c r="J42">
        <f t="shared" si="5"/>
        <v>25387.076666464331</v>
      </c>
      <c r="K42">
        <f t="shared" si="6"/>
        <v>7769599.0403996389</v>
      </c>
      <c r="L42">
        <f t="shared" si="6"/>
        <v>2087035.472037724</v>
      </c>
      <c r="M42">
        <f t="shared" si="6"/>
        <v>1.3444296064452251E-3</v>
      </c>
      <c r="N42">
        <f t="shared" si="7"/>
        <v>1.3444296064452251E-3</v>
      </c>
      <c r="P42">
        <f t="shared" si="8"/>
        <v>25387.076666667162</v>
      </c>
      <c r="Q42">
        <f t="shared" si="9"/>
        <v>7769598.7600023607</v>
      </c>
      <c r="R42">
        <f t="shared" si="9"/>
        <v>2292059.7420271202</v>
      </c>
      <c r="S42">
        <f t="shared" si="9"/>
        <v>1891615.1296002518</v>
      </c>
      <c r="T42">
        <f t="shared" si="9"/>
        <v>1.3444444807414486E-3</v>
      </c>
      <c r="U42">
        <f t="shared" si="10"/>
        <v>1.3444444807414486E-3</v>
      </c>
    </row>
    <row r="43" spans="1:21" x14ac:dyDescent="0.25">
      <c r="A43" s="6">
        <f>A17</f>
        <v>25460.53</v>
      </c>
      <c r="B43" s="6">
        <f t="shared" si="0"/>
        <v>24125.56</v>
      </c>
      <c r="C43" s="6">
        <f t="shared" si="1"/>
        <v>1782144.9008999935</v>
      </c>
      <c r="D43" s="6"/>
      <c r="E43">
        <f t="shared" si="2"/>
        <v>25387.076667073325</v>
      </c>
      <c r="F43">
        <f t="shared" si="3"/>
        <v>3864087.8807719979</v>
      </c>
      <c r="G43">
        <f t="shared" si="3"/>
        <v>5395.3921180368388</v>
      </c>
      <c r="H43">
        <f t="shared" si="4"/>
        <v>5395.3921180368388</v>
      </c>
      <c r="J43">
        <f t="shared" si="5"/>
        <v>25387.076666464331</v>
      </c>
      <c r="K43">
        <f t="shared" si="6"/>
        <v>8184691.8798923837</v>
      </c>
      <c r="L43">
        <f t="shared" si="6"/>
        <v>2304772.0206306917</v>
      </c>
      <c r="M43">
        <f t="shared" si="6"/>
        <v>5395.3922075021201</v>
      </c>
      <c r="N43">
        <f t="shared" si="7"/>
        <v>5395.3922075021201</v>
      </c>
      <c r="P43">
        <f>INDEX(Q$44:T$44,MATCH(U43,Q43:T43,0))</f>
        <v>25387.076666667162</v>
      </c>
      <c r="Q43">
        <f t="shared" si="9"/>
        <v>8184691.5921024112</v>
      </c>
      <c r="R43">
        <f t="shared" si="9"/>
        <v>2519981.6280272165</v>
      </c>
      <c r="S43">
        <f t="shared" si="9"/>
        <v>2099166.3225002591</v>
      </c>
      <c r="T43">
        <f t="shared" si="9"/>
        <v>5395.3921777047653</v>
      </c>
      <c r="U43">
        <f t="shared" si="10"/>
        <v>5395.3921777047653</v>
      </c>
    </row>
    <row r="44" spans="1:21" x14ac:dyDescent="0.25">
      <c r="B44" s="6">
        <f>AVERAGE(A35:A43)</f>
        <v>24125.56</v>
      </c>
      <c r="C44" s="9">
        <f>SUM(C35:C43)</f>
        <v>9602282.0362</v>
      </c>
      <c r="D44" s="6"/>
      <c r="F44">
        <v>23494.801666589708</v>
      </c>
      <c r="G44">
        <v>25387.076667073325</v>
      </c>
      <c r="H44" s="10">
        <f>SUM(H35:H43)</f>
        <v>2440872.6849500039</v>
      </c>
      <c r="K44">
        <v>22599.639949702298</v>
      </c>
      <c r="L44">
        <v>23942.382437794437</v>
      </c>
      <c r="M44">
        <v>25387.076666464331</v>
      </c>
      <c r="N44" s="10">
        <f>SUM(N35:N43)</f>
        <v>36929.456541686872</v>
      </c>
      <c r="Q44">
        <v>22599.639999999577</v>
      </c>
      <c r="R44">
        <v>23873.084999999301</v>
      </c>
      <c r="S44">
        <v>24011.679999999909</v>
      </c>
      <c r="T44">
        <v>25387.076666667162</v>
      </c>
      <c r="U44" s="10">
        <f>SUM(U35:U43)</f>
        <v>17720.882516666516</v>
      </c>
    </row>
    <row r="45" spans="1:21" x14ac:dyDescent="0.25">
      <c r="C45" s="6">
        <f>SQRT(C44)</f>
        <v>3098.7549170917018</v>
      </c>
      <c r="F45">
        <f>G44-F44</f>
        <v>1892.2750004836162</v>
      </c>
      <c r="H45" s="6">
        <f>SQRT(H44)</f>
        <v>1562.3292498542053</v>
      </c>
      <c r="K45">
        <f>L44-K44</f>
        <v>1342.742488092139</v>
      </c>
      <c r="L45">
        <f>M44-L44</f>
        <v>1444.6942286698941</v>
      </c>
      <c r="N45" s="6">
        <f>SQRT(N44)</f>
        <v>192.17038414304861</v>
      </c>
      <c r="U45" s="6">
        <f>SQRT(U44)</f>
        <v>133.11980512555792</v>
      </c>
    </row>
    <row r="46" spans="1:21" x14ac:dyDescent="0.25">
      <c r="F46">
        <v>23494.783851306922</v>
      </c>
      <c r="G46">
        <v>25387.045330652676</v>
      </c>
      <c r="H46">
        <v>2440872.6898001642</v>
      </c>
      <c r="K46">
        <v>22599.639949702298</v>
      </c>
      <c r="L46">
        <v>23942.382437794437</v>
      </c>
      <c r="M46">
        <v>25387.076666464331</v>
      </c>
      <c r="N46">
        <v>36929.456541686872</v>
      </c>
      <c r="Q46">
        <v>22599.639999999577</v>
      </c>
      <c r="R46">
        <v>23873.084999999301</v>
      </c>
      <c r="S46">
        <v>24011.679999999909</v>
      </c>
      <c r="T46">
        <v>25387.076666667162</v>
      </c>
      <c r="U46">
        <v>17720.882516666516</v>
      </c>
    </row>
    <row r="47" spans="1:21" x14ac:dyDescent="0.25">
      <c r="F47">
        <v>22599.63999934903</v>
      </c>
      <c r="G47">
        <v>24561.537141209039</v>
      </c>
      <c r="H47">
        <v>3614885.8597428533</v>
      </c>
    </row>
    <row r="49" spans="1:17" x14ac:dyDescent="0.25">
      <c r="B49" t="s">
        <v>52</v>
      </c>
      <c r="E49" s="8"/>
      <c r="K49" s="6">
        <f>A40-A36</f>
        <v>1414.1400000000031</v>
      </c>
      <c r="L49" s="6">
        <f>A43-A40</f>
        <v>1414.1299999999974</v>
      </c>
    </row>
    <row r="50" spans="1:17" x14ac:dyDescent="0.25">
      <c r="E50" s="8"/>
      <c r="K50" s="6"/>
      <c r="L50" s="6"/>
    </row>
    <row r="52" spans="1:17" x14ac:dyDescent="0.25">
      <c r="B52" t="s">
        <v>53</v>
      </c>
      <c r="C52" t="s">
        <v>14</v>
      </c>
      <c r="D52" t="s">
        <v>15</v>
      </c>
      <c r="E52" t="s">
        <v>18</v>
      </c>
      <c r="F52" t="s">
        <v>36</v>
      </c>
      <c r="G52" t="s">
        <v>54</v>
      </c>
      <c r="H52" t="s">
        <v>16</v>
      </c>
      <c r="J52" t="s">
        <v>55</v>
      </c>
      <c r="K52" t="s">
        <v>14</v>
      </c>
      <c r="L52" t="s">
        <v>15</v>
      </c>
      <c r="M52" t="s">
        <v>18</v>
      </c>
      <c r="N52" t="s">
        <v>36</v>
      </c>
      <c r="O52" t="s">
        <v>54</v>
      </c>
      <c r="P52" t="s">
        <v>56</v>
      </c>
      <c r="Q52" t="s">
        <v>16</v>
      </c>
    </row>
    <row r="53" spans="1:17" x14ac:dyDescent="0.25">
      <c r="A53" s="6">
        <f>A9</f>
        <v>22567.02</v>
      </c>
      <c r="B53">
        <f>INDEX(C$62:G$62,MATCH(H53,C53:G53,0))</f>
        <v>22599.640000012569</v>
      </c>
      <c r="C53">
        <f>($A53-C$62)^2</f>
        <v>1064.0644008199492</v>
      </c>
      <c r="D53">
        <f>($A53-D$62)^2</f>
        <v>1705805.784176551</v>
      </c>
      <c r="E53">
        <f>($A53-E$62)^2</f>
        <v>2087042.5158315527</v>
      </c>
      <c r="F53">
        <f>($A53-F$62)^2</f>
        <v>7746925.8891285462</v>
      </c>
      <c r="G53">
        <f>($A53-G$62)^2</f>
        <v>8372400.1200906849</v>
      </c>
      <c r="H53">
        <f>MIN(C53:G53)</f>
        <v>1064.0644008199492</v>
      </c>
      <c r="J53">
        <f>INDEX(K$62:P$62,MATCH(Q53,K53:P53,0))</f>
        <v>22599.639999999989</v>
      </c>
      <c r="K53">
        <f t="shared" ref="K53:P53" si="11">($A53-K$62)^2</f>
        <v>1064.0643999992215</v>
      </c>
      <c r="L53">
        <f t="shared" si="11"/>
        <v>1705805.7842249491</v>
      </c>
      <c r="M53">
        <f t="shared" si="11"/>
        <v>2087042.5155999891</v>
      </c>
      <c r="N53">
        <f t="shared" si="11"/>
        <v>7544031.2892217916</v>
      </c>
      <c r="O53">
        <f t="shared" si="11"/>
        <v>7952512.8003851473</v>
      </c>
      <c r="P53">
        <f t="shared" si="11"/>
        <v>8372400.1200999906</v>
      </c>
      <c r="Q53">
        <f>MIN(K53:P53)</f>
        <v>1064.0643999992215</v>
      </c>
    </row>
    <row r="54" spans="1:17" x14ac:dyDescent="0.25">
      <c r="A54" s="6">
        <f>A10</f>
        <v>22632.26</v>
      </c>
      <c r="B54">
        <f t="shared" ref="B54:B61" si="12">INDEX(C$62:G$62,MATCH(H54,C54:G54,0))</f>
        <v>22599.640000012569</v>
      </c>
      <c r="C54">
        <f t="shared" ref="C54:G61" si="13">($A54-C$62)^2</f>
        <v>1064.0643991799179</v>
      </c>
      <c r="D54">
        <f t="shared" si="13"/>
        <v>1539646.6805789762</v>
      </c>
      <c r="E54">
        <f t="shared" si="13"/>
        <v>1902799.5366211014</v>
      </c>
      <c r="F54">
        <f t="shared" si="13"/>
        <v>7388013.2483232003</v>
      </c>
      <c r="G54">
        <f t="shared" si="13"/>
        <v>7999111.1928909067</v>
      </c>
      <c r="H54">
        <f t="shared" ref="H54:H61" si="14">MIN(C54:G54)</f>
        <v>1064.0643991799179</v>
      </c>
      <c r="J54">
        <f t="shared" ref="J54:J61" si="15">INDEX(K$62:P$62,MATCH(Q54,K54:P54,0))</f>
        <v>22599.639999999989</v>
      </c>
      <c r="K54">
        <f t="shared" ref="K54:P61" si="16">($A54-K$62)^2</f>
        <v>1064.0644000006455</v>
      </c>
      <c r="L54">
        <f t="shared" si="16"/>
        <v>1539646.6806249567</v>
      </c>
      <c r="M54">
        <f t="shared" si="16"/>
        <v>1902799.5363999952</v>
      </c>
      <c r="N54">
        <f t="shared" si="16"/>
        <v>7189905.9596307855</v>
      </c>
      <c r="O54">
        <f t="shared" si="16"/>
        <v>7588812.8483855017</v>
      </c>
      <c r="P54">
        <f t="shared" si="16"/>
        <v>7999111.1929000029</v>
      </c>
      <c r="Q54">
        <f t="shared" ref="Q54:Q61" si="17">MIN(K54:P54)</f>
        <v>1064.0644000006455</v>
      </c>
    </row>
    <row r="55" spans="1:17" x14ac:dyDescent="0.25">
      <c r="A55" s="6">
        <f>A11</f>
        <v>23838.47</v>
      </c>
      <c r="B55">
        <f t="shared" si="12"/>
        <v>23873.084999981453</v>
      </c>
      <c r="C55">
        <f t="shared" si="13"/>
        <v>1534699.7688688622</v>
      </c>
      <c r="D55">
        <f t="shared" si="13"/>
        <v>1198.1982237158907</v>
      </c>
      <c r="E55">
        <f t="shared" si="13"/>
        <v>30001.704127762154</v>
      </c>
      <c r="F55">
        <f t="shared" si="13"/>
        <v>2285781.1345241424</v>
      </c>
      <c r="G55">
        <f t="shared" si="13"/>
        <v>2631078.6435947758</v>
      </c>
      <c r="H55">
        <f t="shared" si="14"/>
        <v>1198.1982237158907</v>
      </c>
      <c r="J55">
        <f t="shared" si="15"/>
        <v>23873.084999999981</v>
      </c>
      <c r="K55">
        <f t="shared" si="16"/>
        <v>1534699.7689000315</v>
      </c>
      <c r="L55">
        <f t="shared" si="16"/>
        <v>1198.1982249985997</v>
      </c>
      <c r="M55">
        <f t="shared" si="16"/>
        <v>30001.704099998438</v>
      </c>
      <c r="N55">
        <f t="shared" si="16"/>
        <v>2176185.5358968661</v>
      </c>
      <c r="O55">
        <f t="shared" si="16"/>
        <v>2398069.0448918417</v>
      </c>
      <c r="P55">
        <f t="shared" si="16"/>
        <v>2631078.6435999926</v>
      </c>
      <c r="Q55">
        <f t="shared" si="17"/>
        <v>1198.1982249985997</v>
      </c>
    </row>
    <row r="56" spans="1:17" x14ac:dyDescent="0.25">
      <c r="A56" s="6">
        <f>A12</f>
        <v>23907.7</v>
      </c>
      <c r="B56">
        <f t="shared" si="12"/>
        <v>23873.084999981453</v>
      </c>
      <c r="C56">
        <f t="shared" si="13"/>
        <v>1711020.963567121</v>
      </c>
      <c r="D56">
        <f t="shared" si="13"/>
        <v>1198.1982262840793</v>
      </c>
      <c r="E56">
        <f t="shared" si="13"/>
        <v>10811.840416666038</v>
      </c>
      <c r="F56">
        <f t="shared" si="13"/>
        <v>2081239.0226184591</v>
      </c>
      <c r="G56">
        <f t="shared" si="13"/>
        <v>2411281.0088950004</v>
      </c>
      <c r="H56">
        <f t="shared" si="14"/>
        <v>1198.1982262840793</v>
      </c>
      <c r="J56">
        <f t="shared" si="15"/>
        <v>23873.084999999981</v>
      </c>
      <c r="K56">
        <f t="shared" si="16"/>
        <v>1711020.963600032</v>
      </c>
      <c r="L56">
        <f t="shared" si="16"/>
        <v>1198.19822500137</v>
      </c>
      <c r="M56">
        <f t="shared" si="16"/>
        <v>10811.840399999153</v>
      </c>
      <c r="N56">
        <f t="shared" si="16"/>
        <v>1976723.5214064005</v>
      </c>
      <c r="O56">
        <f t="shared" si="16"/>
        <v>2188446.8355922075</v>
      </c>
      <c r="P56">
        <f t="shared" si="16"/>
        <v>2411281.0088999942</v>
      </c>
      <c r="Q56">
        <f t="shared" si="17"/>
        <v>1198.19822500137</v>
      </c>
    </row>
    <row r="57" spans="1:17" x14ac:dyDescent="0.25">
      <c r="A57" s="6">
        <f>A13</f>
        <v>23976.959999999999</v>
      </c>
      <c r="B57">
        <f t="shared" si="12"/>
        <v>24011.680000080141</v>
      </c>
      <c r="C57">
        <f t="shared" si="13"/>
        <v>1897010.3823653755</v>
      </c>
      <c r="D57">
        <f t="shared" si="13"/>
        <v>10790.015628853018</v>
      </c>
      <c r="E57">
        <f t="shared" si="13"/>
        <v>1205.4784055650744</v>
      </c>
      <c r="F57">
        <f t="shared" si="13"/>
        <v>1886200.0922127764</v>
      </c>
      <c r="G57">
        <f t="shared" si="13"/>
        <v>2200979.9448952279</v>
      </c>
      <c r="H57">
        <f t="shared" si="14"/>
        <v>1205.4784055650744</v>
      </c>
      <c r="J57">
        <f t="shared" si="15"/>
        <v>24011.679999999997</v>
      </c>
      <c r="K57">
        <f t="shared" si="16"/>
        <v>1897010.3824000293</v>
      </c>
      <c r="L57">
        <f t="shared" si="16"/>
        <v>10790.01562500378</v>
      </c>
      <c r="M57">
        <f t="shared" si="16"/>
        <v>1205.4783999998283</v>
      </c>
      <c r="N57">
        <f t="shared" si="16"/>
        <v>1786766.8898159417</v>
      </c>
      <c r="O57">
        <f t="shared" si="16"/>
        <v>1988325.6063925768</v>
      </c>
      <c r="P57">
        <f t="shared" si="16"/>
        <v>2200979.9448999991</v>
      </c>
      <c r="Q57">
        <f t="shared" si="17"/>
        <v>1205.4783999998283</v>
      </c>
    </row>
    <row r="58" spans="1:17" x14ac:dyDescent="0.25">
      <c r="A58" s="6">
        <f>A14</f>
        <v>24046.400000000001</v>
      </c>
      <c r="B58">
        <f t="shared" si="12"/>
        <v>24011.680000080141</v>
      </c>
      <c r="C58">
        <f t="shared" si="13"/>
        <v>2093114.4975636366</v>
      </c>
      <c r="D58">
        <f t="shared" si="13"/>
        <v>30038.089231429552</v>
      </c>
      <c r="E58">
        <f t="shared" si="13"/>
        <v>1205.4783944350875</v>
      </c>
      <c r="F58">
        <f t="shared" si="13"/>
        <v>1700285.6026070681</v>
      </c>
      <c r="G58">
        <f t="shared" si="13"/>
        <v>1999763.6568954447</v>
      </c>
      <c r="H58">
        <f t="shared" si="14"/>
        <v>1205.4783944350875</v>
      </c>
      <c r="J58">
        <f t="shared" si="15"/>
        <v>24011.679999999997</v>
      </c>
      <c r="K58">
        <f t="shared" si="16"/>
        <v>2093114.4976000374</v>
      </c>
      <c r="L58">
        <f t="shared" si="16"/>
        <v>30038.089225007112</v>
      </c>
      <c r="M58">
        <f t="shared" si="16"/>
        <v>1205.4784000003335</v>
      </c>
      <c r="N58">
        <f t="shared" si="16"/>
        <v>1605947.9074254974</v>
      </c>
      <c r="O58">
        <f t="shared" si="16"/>
        <v>1797315.6095929362</v>
      </c>
      <c r="P58">
        <f t="shared" si="16"/>
        <v>1999763.6568999926</v>
      </c>
      <c r="Q58">
        <f t="shared" si="17"/>
        <v>1205.4784000003335</v>
      </c>
    </row>
    <row r="59" spans="1:17" x14ac:dyDescent="0.25">
      <c r="A59" s="6">
        <f>A15</f>
        <v>25313.66</v>
      </c>
      <c r="B59">
        <f t="shared" si="12"/>
        <v>25350.350000041057</v>
      </c>
      <c r="C59">
        <f t="shared" si="13"/>
        <v>7365904.5603317758</v>
      </c>
      <c r="D59">
        <f t="shared" si="13"/>
        <v>2075256.3306784371</v>
      </c>
      <c r="E59">
        <f t="shared" si="13"/>
        <v>1695151.9201913148</v>
      </c>
      <c r="F59">
        <f t="shared" si="13"/>
        <v>1346.1561030127568</v>
      </c>
      <c r="G59">
        <f t="shared" si="13"/>
        <v>21570.79689952737</v>
      </c>
      <c r="H59">
        <f t="shared" si="14"/>
        <v>1346.1561030127568</v>
      </c>
      <c r="J59">
        <f t="shared" si="15"/>
        <v>25313.659999931151</v>
      </c>
      <c r="K59">
        <f t="shared" si="16"/>
        <v>7365904.5604000613</v>
      </c>
      <c r="L59">
        <f t="shared" si="16"/>
        <v>2075256.3306250544</v>
      </c>
      <c r="M59">
        <f t="shared" si="16"/>
        <v>1695151.9204000083</v>
      </c>
      <c r="N59">
        <f t="shared" si="16"/>
        <v>4.7401502284289996E-15</v>
      </c>
      <c r="O59">
        <f t="shared" si="16"/>
        <v>5384.6243996135991</v>
      </c>
      <c r="P59">
        <f t="shared" si="16"/>
        <v>21570.796899999699</v>
      </c>
      <c r="Q59">
        <f t="shared" si="17"/>
        <v>4.7401502284289996E-15</v>
      </c>
    </row>
    <row r="60" spans="1:17" x14ac:dyDescent="0.25">
      <c r="A60" s="6">
        <f>A16</f>
        <v>25387.040000000001</v>
      </c>
      <c r="B60">
        <f t="shared" si="12"/>
        <v>25350.350000041057</v>
      </c>
      <c r="C60">
        <f t="shared" si="13"/>
        <v>7769598.7599299373</v>
      </c>
      <c r="D60">
        <f t="shared" si="13"/>
        <v>2292059.7420811621</v>
      </c>
      <c r="E60">
        <f t="shared" si="13"/>
        <v>1891615.129379556</v>
      </c>
      <c r="F60">
        <f t="shared" si="13"/>
        <v>1346.1560969873181</v>
      </c>
      <c r="G60">
        <f t="shared" si="13"/>
        <v>5400.7800997633585</v>
      </c>
      <c r="H60">
        <f t="shared" si="14"/>
        <v>1346.1560969873181</v>
      </c>
      <c r="J60">
        <f t="shared" si="15"/>
        <v>25387.039999997367</v>
      </c>
      <c r="K60">
        <f t="shared" si="16"/>
        <v>7769598.7600000687</v>
      </c>
      <c r="L60">
        <f t="shared" si="16"/>
        <v>2292059.7420250606</v>
      </c>
      <c r="M60">
        <f t="shared" si="16"/>
        <v>1891615.1296000115</v>
      </c>
      <c r="N60">
        <f t="shared" si="16"/>
        <v>5384.6244101043922</v>
      </c>
      <c r="O60">
        <f t="shared" si="16"/>
        <v>6.9374115962495334E-18</v>
      </c>
      <c r="P60">
        <f t="shared" si="16"/>
        <v>5400.7800999997007</v>
      </c>
      <c r="Q60">
        <f t="shared" si="17"/>
        <v>6.9374115962495334E-18</v>
      </c>
    </row>
    <row r="61" spans="1:17" x14ac:dyDescent="0.25">
      <c r="A61" s="6">
        <f>A17</f>
        <v>25460.53</v>
      </c>
      <c r="B61">
        <f t="shared" si="12"/>
        <v>25460.529999998391</v>
      </c>
      <c r="C61">
        <f t="shared" si="13"/>
        <v>8184691.5920280786</v>
      </c>
      <c r="D61">
        <f t="shared" si="13"/>
        <v>2519981.6280838819</v>
      </c>
      <c r="E61">
        <f t="shared" si="13"/>
        <v>2099166.3222677712</v>
      </c>
      <c r="F61">
        <f t="shared" si="13"/>
        <v>12139.632390952473</v>
      </c>
      <c r="G61">
        <f t="shared" si="13"/>
        <v>2.5856210110529552E-18</v>
      </c>
      <c r="H61">
        <f t="shared" si="14"/>
        <v>2.5856210110529552E-18</v>
      </c>
      <c r="J61">
        <f t="shared" si="15"/>
        <v>25460.53</v>
      </c>
      <c r="K61">
        <f t="shared" si="16"/>
        <v>8184691.5921000587</v>
      </c>
      <c r="L61">
        <f t="shared" si="16"/>
        <v>2519981.6280250568</v>
      </c>
      <c r="M61">
        <f t="shared" si="16"/>
        <v>2099166.3225000063</v>
      </c>
      <c r="N61">
        <f t="shared" si="16"/>
        <v>21570.796920223333</v>
      </c>
      <c r="O61">
        <f t="shared" si="16"/>
        <v>5400.7801003868308</v>
      </c>
      <c r="P61">
        <f t="shared" si="16"/>
        <v>0</v>
      </c>
      <c r="Q61">
        <f t="shared" si="17"/>
        <v>0</v>
      </c>
    </row>
    <row r="62" spans="1:17" x14ac:dyDescent="0.25">
      <c r="C62">
        <v>22599.640000012569</v>
      </c>
      <c r="D62">
        <v>23873.084999981453</v>
      </c>
      <c r="E62">
        <v>24011.680000080141</v>
      </c>
      <c r="F62">
        <v>25350.350000041057</v>
      </c>
      <c r="G62">
        <v>25460.529999998391</v>
      </c>
      <c r="H62" s="10">
        <f>SUM(H53:H61)</f>
        <v>9627.7942500000718</v>
      </c>
      <c r="K62">
        <v>22599.639999999989</v>
      </c>
      <c r="L62">
        <v>23873.084999999981</v>
      </c>
      <c r="M62">
        <v>24011.679999999997</v>
      </c>
      <c r="N62">
        <v>25313.659999931151</v>
      </c>
      <c r="O62">
        <v>25387.039999997367</v>
      </c>
      <c r="P62">
        <v>25460.53</v>
      </c>
      <c r="Q62" s="10">
        <f>SUM(Q53:Q61)</f>
        <v>6935.4820499999978</v>
      </c>
    </row>
    <row r="63" spans="1:17" x14ac:dyDescent="0.25">
      <c r="H63" s="6">
        <f>SQRT(H62)</f>
        <v>98.121324134971147</v>
      </c>
      <c r="Q63" s="6">
        <f>SQRT(Q62)</f>
        <v>83.279541605366674</v>
      </c>
    </row>
    <row r="64" spans="1:17" x14ac:dyDescent="0.25">
      <c r="C64">
        <v>22599.640000012569</v>
      </c>
      <c r="D64">
        <v>23873.084999981453</v>
      </c>
      <c r="E64" s="8">
        <v>24011.680000080141</v>
      </c>
      <c r="F64">
        <v>25350.350000041057</v>
      </c>
      <c r="G64" s="12">
        <v>25460.529999998391</v>
      </c>
      <c r="H64">
        <v>9627.7942500000718</v>
      </c>
      <c r="K64">
        <v>22599.639999999989</v>
      </c>
      <c r="L64">
        <v>23873.084999999981</v>
      </c>
      <c r="M64">
        <v>24011.679999999997</v>
      </c>
      <c r="N64" s="12">
        <v>25313.659999931151</v>
      </c>
      <c r="O64" s="12">
        <v>25387.039999997367</v>
      </c>
      <c r="P64" s="12">
        <v>25460.530000123137</v>
      </c>
      <c r="Q64" s="11">
        <v>6935.4820499999978</v>
      </c>
    </row>
    <row r="65" spans="1:21" x14ac:dyDescent="0.25">
      <c r="E65" s="8"/>
      <c r="K65">
        <v>22599.640000118387</v>
      </c>
      <c r="L65" s="12">
        <v>23838.469985547115</v>
      </c>
      <c r="M65" s="12">
        <v>23907.700014366546</v>
      </c>
      <c r="N65">
        <v>24011.680001424797</v>
      </c>
      <c r="O65">
        <v>25350.350000001512</v>
      </c>
      <c r="P65" s="12">
        <v>25460.529999898958</v>
      </c>
      <c r="Q65" s="11">
        <v>7231.3978000005218</v>
      </c>
    </row>
    <row r="66" spans="1:21" x14ac:dyDescent="0.25">
      <c r="E66" s="8"/>
      <c r="K66" s="12">
        <v>22567.02</v>
      </c>
      <c r="L66" s="12">
        <v>22632.26</v>
      </c>
      <c r="M66">
        <v>23873.084999981453</v>
      </c>
      <c r="N66">
        <v>24011.680000080141</v>
      </c>
      <c r="O66">
        <v>25350.350000001512</v>
      </c>
      <c r="P66" s="12">
        <v>25460.529999898958</v>
      </c>
      <c r="Q66" s="11">
        <v>7499.6654500002069</v>
      </c>
    </row>
    <row r="67" spans="1:21" x14ac:dyDescent="0.25">
      <c r="E67" s="8"/>
    </row>
    <row r="68" spans="1:21" x14ac:dyDescent="0.25">
      <c r="B68" t="s">
        <v>57</v>
      </c>
      <c r="C68" t="s">
        <v>14</v>
      </c>
      <c r="D68" t="s">
        <v>15</v>
      </c>
      <c r="E68" t="s">
        <v>18</v>
      </c>
      <c r="F68" t="s">
        <v>36</v>
      </c>
      <c r="G68" t="s">
        <v>54</v>
      </c>
      <c r="H68" t="s">
        <v>56</v>
      </c>
      <c r="I68" t="s">
        <v>58</v>
      </c>
      <c r="J68" t="s">
        <v>59</v>
      </c>
      <c r="L68" t="s">
        <v>60</v>
      </c>
      <c r="M68" t="s">
        <v>14</v>
      </c>
      <c r="N68" t="s">
        <v>15</v>
      </c>
      <c r="O68" t="s">
        <v>18</v>
      </c>
      <c r="P68" t="s">
        <v>36</v>
      </c>
      <c r="Q68" t="s">
        <v>54</v>
      </c>
      <c r="R68" t="s">
        <v>56</v>
      </c>
      <c r="S68" t="s">
        <v>58</v>
      </c>
      <c r="T68" t="s">
        <v>61</v>
      </c>
      <c r="U68" t="s">
        <v>59</v>
      </c>
    </row>
    <row r="69" spans="1:21" x14ac:dyDescent="0.25">
      <c r="A69">
        <v>22567.02</v>
      </c>
      <c r="B69">
        <f>INDEX(C$78:I$78,MATCH(J69,C69:I69,0))</f>
        <v>22599.640000011921</v>
      </c>
      <c r="C69">
        <f t="shared" ref="C69:I69" si="18">($A69-C$78)^2</f>
        <v>1064.0644007777025</v>
      </c>
      <c r="D69">
        <f t="shared" si="18"/>
        <v>1616585.1024850244</v>
      </c>
      <c r="E69">
        <f t="shared" si="18"/>
        <v>1797422.8623615964</v>
      </c>
      <c r="F69">
        <f t="shared" si="18"/>
        <v>2087042.5157292883</v>
      </c>
      <c r="G69">
        <f t="shared" si="18"/>
        <v>7544031.2894678395</v>
      </c>
      <c r="H69">
        <f t="shared" si="18"/>
        <v>7952512.8005535007</v>
      </c>
      <c r="I69">
        <f t="shared" si="18"/>
        <v>8372400.120100054</v>
      </c>
      <c r="J69">
        <f>MIN(C69:I69)</f>
        <v>1064.0644007777025</v>
      </c>
      <c r="L69">
        <f>INDEX(M$78:T$78,MATCH(U69,M69:T69,0))</f>
        <v>22599.640000011921</v>
      </c>
      <c r="M69">
        <f t="shared" ref="M69:T69" si="19">($A69-M$78)^2</f>
        <v>1064.0644007777025</v>
      </c>
      <c r="N69">
        <f t="shared" si="19"/>
        <v>1616585.1025000019</v>
      </c>
      <c r="O69">
        <f t="shared" si="19"/>
        <v>1797422.8624000007</v>
      </c>
      <c r="P69">
        <f t="shared" si="19"/>
        <v>1987930.8035999963</v>
      </c>
      <c r="Q69">
        <f t="shared" si="19"/>
        <v>2188565.1844000029</v>
      </c>
      <c r="R69">
        <f t="shared" si="19"/>
        <v>7544031.289599997</v>
      </c>
      <c r="S69">
        <f t="shared" si="19"/>
        <v>7952512.8004000029</v>
      </c>
      <c r="T69">
        <f t="shared" si="19"/>
        <v>8372400.1200999906</v>
      </c>
      <c r="U69">
        <f>MIN(M69:T69)</f>
        <v>1064.0644007777025</v>
      </c>
    </row>
    <row r="70" spans="1:21" x14ac:dyDescent="0.25">
      <c r="A70">
        <v>22632.26</v>
      </c>
      <c r="B70">
        <f t="shared" ref="B70:B77" si="20">INDEX(C$78:I$78,MATCH(J70,C70:I70,0))</f>
        <v>22599.640000011921</v>
      </c>
      <c r="C70">
        <f t="shared" ref="C70:I77" si="21">($A70-C$78)^2</f>
        <v>1064.0643992221646</v>
      </c>
      <c r="D70">
        <f t="shared" si="21"/>
        <v>1454942.5640857979</v>
      </c>
      <c r="E70">
        <f t="shared" si="21"/>
        <v>1626747.1935634704</v>
      </c>
      <c r="F70">
        <f t="shared" si="21"/>
        <v>1902799.5365234555</v>
      </c>
      <c r="G70">
        <f t="shared" si="21"/>
        <v>7189905.9598709894</v>
      </c>
      <c r="H70">
        <f t="shared" si="21"/>
        <v>7588812.8485499602</v>
      </c>
      <c r="I70">
        <f t="shared" si="21"/>
        <v>7999111.1929000644</v>
      </c>
      <c r="J70">
        <f t="shared" ref="J70:J77" si="22">MIN(C70:I70)</f>
        <v>1064.0643992221646</v>
      </c>
      <c r="L70">
        <f t="shared" ref="L70:L77" si="23">INDEX(M$78:T$78,MATCH(U70,M70:T70,0))</f>
        <v>22599.640000011921</v>
      </c>
      <c r="M70">
        <f t="shared" ref="M70:T77" si="24">($A70-M$78)^2</f>
        <v>1064.0643992221646</v>
      </c>
      <c r="N70">
        <f t="shared" si="24"/>
        <v>1454942.5641000066</v>
      </c>
      <c r="O70">
        <f t="shared" si="24"/>
        <v>1626747.1936000059</v>
      </c>
      <c r="P70">
        <f t="shared" si="24"/>
        <v>1808218.0900000019</v>
      </c>
      <c r="Q70">
        <f t="shared" si="24"/>
        <v>1999791.9396000085</v>
      </c>
      <c r="R70">
        <f t="shared" si="24"/>
        <v>7189905.9600000074</v>
      </c>
      <c r="S70">
        <f t="shared" si="24"/>
        <v>7588812.8484000135</v>
      </c>
      <c r="T70">
        <f t="shared" si="24"/>
        <v>7999111.1929000029</v>
      </c>
      <c r="U70">
        <f t="shared" ref="U70:U77" si="25">MIN(M70:T70)</f>
        <v>1064.0643992221646</v>
      </c>
    </row>
    <row r="71" spans="1:21" x14ac:dyDescent="0.25">
      <c r="A71">
        <v>23838.47</v>
      </c>
      <c r="B71">
        <f t="shared" si="20"/>
        <v>23838.469999994111</v>
      </c>
      <c r="C71">
        <f t="shared" si="21"/>
        <v>1534699.7688704666</v>
      </c>
      <c r="D71">
        <f t="shared" si="21"/>
        <v>3.4690776985281705E-17</v>
      </c>
      <c r="E71">
        <f t="shared" si="21"/>
        <v>4792.7928980168153</v>
      </c>
      <c r="F71">
        <f t="shared" si="21"/>
        <v>30001.704115501001</v>
      </c>
      <c r="G71">
        <f t="shared" si="21"/>
        <v>2176185.5360290161</v>
      </c>
      <c r="H71">
        <f t="shared" si="21"/>
        <v>2398069.0449842899</v>
      </c>
      <c r="I71">
        <f t="shared" si="21"/>
        <v>2631078.643600028</v>
      </c>
      <c r="J71">
        <f t="shared" si="22"/>
        <v>3.4690776985281705E-17</v>
      </c>
      <c r="L71">
        <f t="shared" si="23"/>
        <v>23838.47</v>
      </c>
      <c r="M71">
        <f t="shared" si="24"/>
        <v>1534699.7688704666</v>
      </c>
      <c r="N71">
        <f t="shared" si="24"/>
        <v>0</v>
      </c>
      <c r="O71">
        <f t="shared" si="24"/>
        <v>4792.7928999999394</v>
      </c>
      <c r="P71">
        <f t="shared" si="24"/>
        <v>19179.480099999437</v>
      </c>
      <c r="Q71">
        <f t="shared" si="24"/>
        <v>43234.884900000121</v>
      </c>
      <c r="R71">
        <f t="shared" si="24"/>
        <v>2176185.536099996</v>
      </c>
      <c r="S71">
        <f t="shared" si="24"/>
        <v>2398069.0448999992</v>
      </c>
      <c r="T71">
        <f t="shared" si="24"/>
        <v>2631078.6435999926</v>
      </c>
      <c r="U71">
        <f t="shared" si="25"/>
        <v>0</v>
      </c>
    </row>
    <row r="72" spans="1:21" x14ac:dyDescent="0.25">
      <c r="A72">
        <v>23907.7</v>
      </c>
      <c r="B72">
        <f t="shared" si="20"/>
        <v>23907.699999985678</v>
      </c>
      <c r="C72">
        <f t="shared" si="21"/>
        <v>1711020.963568815</v>
      </c>
      <c r="D72">
        <f t="shared" si="21"/>
        <v>4792.7929008154533</v>
      </c>
      <c r="E72">
        <f t="shared" si="21"/>
        <v>2.0514038163156704E-16</v>
      </c>
      <c r="F72">
        <f t="shared" si="21"/>
        <v>10811.840409305525</v>
      </c>
      <c r="G72">
        <f t="shared" si="21"/>
        <v>1976723.5215323486</v>
      </c>
      <c r="H72">
        <f t="shared" si="21"/>
        <v>2188446.835680523</v>
      </c>
      <c r="I72">
        <f t="shared" si="21"/>
        <v>2411281.0089000282</v>
      </c>
      <c r="J72">
        <f t="shared" si="22"/>
        <v>2.0514038163156704E-16</v>
      </c>
      <c r="L72">
        <f t="shared" si="23"/>
        <v>23907.7</v>
      </c>
      <c r="M72">
        <f t="shared" si="24"/>
        <v>1711020.963568815</v>
      </c>
      <c r="N72">
        <f t="shared" si="24"/>
        <v>4792.7928999999394</v>
      </c>
      <c r="O72">
        <f t="shared" si="24"/>
        <v>0</v>
      </c>
      <c r="P72">
        <f t="shared" si="24"/>
        <v>4796.9475999997785</v>
      </c>
      <c r="Q72">
        <f t="shared" si="24"/>
        <v>19237.690000000202</v>
      </c>
      <c r="R72">
        <f t="shared" si="24"/>
        <v>1976723.5215999975</v>
      </c>
      <c r="S72">
        <f t="shared" si="24"/>
        <v>2188446.8356000003</v>
      </c>
      <c r="T72">
        <f t="shared" si="24"/>
        <v>2411281.0088999942</v>
      </c>
      <c r="U72">
        <f t="shared" si="25"/>
        <v>0</v>
      </c>
    </row>
    <row r="73" spans="1:21" x14ac:dyDescent="0.25">
      <c r="A73">
        <v>23976.959999999999</v>
      </c>
      <c r="B73">
        <f t="shared" si="20"/>
        <v>24011.680000044747</v>
      </c>
      <c r="C73">
        <f t="shared" si="21"/>
        <v>1897010.3823671592</v>
      </c>
      <c r="D73">
        <f t="shared" si="21"/>
        <v>19179.480101630816</v>
      </c>
      <c r="E73">
        <f t="shared" si="21"/>
        <v>4796.9476019837621</v>
      </c>
      <c r="F73">
        <f t="shared" si="21"/>
        <v>1205.4784031073223</v>
      </c>
      <c r="G73">
        <f t="shared" si="21"/>
        <v>1786766.8899356853</v>
      </c>
      <c r="H73">
        <f t="shared" si="21"/>
        <v>1988325.6064767577</v>
      </c>
      <c r="I73">
        <f t="shared" si="21"/>
        <v>2200979.9449000317</v>
      </c>
      <c r="J73">
        <f t="shared" si="22"/>
        <v>1205.4784031073223</v>
      </c>
      <c r="L73">
        <f t="shared" si="23"/>
        <v>23976.959999999999</v>
      </c>
      <c r="M73">
        <f t="shared" si="24"/>
        <v>1897010.3823671592</v>
      </c>
      <c r="N73">
        <f t="shared" si="24"/>
        <v>19179.480099999437</v>
      </c>
      <c r="O73">
        <f t="shared" si="24"/>
        <v>4796.9475999997785</v>
      </c>
      <c r="P73">
        <f t="shared" si="24"/>
        <v>0</v>
      </c>
      <c r="Q73">
        <f t="shared" si="24"/>
        <v>4821.9136000003236</v>
      </c>
      <c r="R73">
        <f t="shared" si="24"/>
        <v>1786766.890000002</v>
      </c>
      <c r="S73">
        <f t="shared" si="24"/>
        <v>1988325.6064000048</v>
      </c>
      <c r="T73">
        <f t="shared" si="24"/>
        <v>2200979.9448999991</v>
      </c>
      <c r="U73">
        <f t="shared" si="25"/>
        <v>0</v>
      </c>
    </row>
    <row r="74" spans="1:21" x14ac:dyDescent="0.25">
      <c r="A74">
        <v>24046.400000000001</v>
      </c>
      <c r="B74">
        <f t="shared" si="20"/>
        <v>24011.680000044747</v>
      </c>
      <c r="C74">
        <f t="shared" si="21"/>
        <v>2093114.4975655104</v>
      </c>
      <c r="D74">
        <f t="shared" si="21"/>
        <v>43234.884902449492</v>
      </c>
      <c r="E74">
        <f t="shared" si="21"/>
        <v>19237.690003973326</v>
      </c>
      <c r="F74">
        <f t="shared" si="21"/>
        <v>1205.4783968928396</v>
      </c>
      <c r="G74">
        <f t="shared" si="21"/>
        <v>1605947.9075390205</v>
      </c>
      <c r="H74">
        <f t="shared" si="21"/>
        <v>1797315.6096729713</v>
      </c>
      <c r="I74">
        <f t="shared" si="21"/>
        <v>1999763.6569000233</v>
      </c>
      <c r="J74">
        <f t="shared" si="22"/>
        <v>1205.4783968928396</v>
      </c>
      <c r="L74">
        <f t="shared" si="23"/>
        <v>24046.400000000001</v>
      </c>
      <c r="M74">
        <f t="shared" si="24"/>
        <v>2093114.4975655104</v>
      </c>
      <c r="N74">
        <f t="shared" si="24"/>
        <v>43234.884900000121</v>
      </c>
      <c r="O74">
        <f t="shared" si="24"/>
        <v>19237.690000000202</v>
      </c>
      <c r="P74">
        <f t="shared" si="24"/>
        <v>4821.9136000003236</v>
      </c>
      <c r="Q74">
        <f t="shared" si="24"/>
        <v>0</v>
      </c>
      <c r="R74">
        <f t="shared" si="24"/>
        <v>1605947.9075999958</v>
      </c>
      <c r="S74">
        <f t="shared" si="24"/>
        <v>1797315.6095999985</v>
      </c>
      <c r="T74">
        <f t="shared" si="24"/>
        <v>1999763.6568999926</v>
      </c>
      <c r="U74">
        <f t="shared" si="25"/>
        <v>0</v>
      </c>
    </row>
    <row r="75" spans="1:21" x14ac:dyDescent="0.25">
      <c r="A75">
        <v>25313.66</v>
      </c>
      <c r="B75">
        <f t="shared" si="20"/>
        <v>25313.659999975942</v>
      </c>
      <c r="C75">
        <f t="shared" si="21"/>
        <v>7365904.5603352915</v>
      </c>
      <c r="D75">
        <f t="shared" si="21"/>
        <v>2176185.5361173735</v>
      </c>
      <c r="E75">
        <f t="shared" si="21"/>
        <v>1976723.5216402719</v>
      </c>
      <c r="F75">
        <f t="shared" si="21"/>
        <v>1695151.9202834792</v>
      </c>
      <c r="G75">
        <f t="shared" si="21"/>
        <v>5.787851435111601E-16</v>
      </c>
      <c r="H75">
        <f t="shared" si="21"/>
        <v>5384.6244039943285</v>
      </c>
      <c r="I75">
        <f t="shared" si="21"/>
        <v>21570.796900002908</v>
      </c>
      <c r="J75">
        <f t="shared" si="22"/>
        <v>5.787851435111601E-16</v>
      </c>
      <c r="L75">
        <f t="shared" si="23"/>
        <v>25313.66</v>
      </c>
      <c r="M75">
        <f t="shared" si="24"/>
        <v>7365904.5603352915</v>
      </c>
      <c r="N75">
        <f t="shared" si="24"/>
        <v>2176185.536099996</v>
      </c>
      <c r="O75">
        <f t="shared" si="24"/>
        <v>1976723.5215999975</v>
      </c>
      <c r="P75">
        <f t="shared" si="24"/>
        <v>1786766.890000002</v>
      </c>
      <c r="Q75">
        <f t="shared" si="24"/>
        <v>1605947.9075999958</v>
      </c>
      <c r="R75">
        <f t="shared" si="24"/>
        <v>0</v>
      </c>
      <c r="S75">
        <f t="shared" si="24"/>
        <v>5384.6244000001498</v>
      </c>
      <c r="T75">
        <f t="shared" si="24"/>
        <v>21570.796899999699</v>
      </c>
      <c r="U75">
        <f t="shared" si="25"/>
        <v>0</v>
      </c>
    </row>
    <row r="76" spans="1:21" x14ac:dyDescent="0.25">
      <c r="A76">
        <v>25387.040000000001</v>
      </c>
      <c r="B76">
        <f t="shared" si="20"/>
        <v>25387.040000027217</v>
      </c>
      <c r="C76">
        <f t="shared" si="21"/>
        <v>7769598.7599335471</v>
      </c>
      <c r="D76">
        <f t="shared" si="21"/>
        <v>2398069.044918241</v>
      </c>
      <c r="E76">
        <f t="shared" si="21"/>
        <v>2188446.8356423769</v>
      </c>
      <c r="F76">
        <f t="shared" si="21"/>
        <v>1891615.1294769146</v>
      </c>
      <c r="G76">
        <f t="shared" si="21"/>
        <v>5384.6244035308946</v>
      </c>
      <c r="H76">
        <f t="shared" si="21"/>
        <v>7.4069538549970121E-16</v>
      </c>
      <c r="I76">
        <f t="shared" si="21"/>
        <v>5400.7801000013051</v>
      </c>
      <c r="J76">
        <f t="shared" si="22"/>
        <v>7.4069538549970121E-16</v>
      </c>
      <c r="L76">
        <f t="shared" si="23"/>
        <v>25387.040000000001</v>
      </c>
      <c r="M76">
        <f t="shared" si="24"/>
        <v>7769598.7599335471</v>
      </c>
      <c r="N76">
        <f t="shared" si="24"/>
        <v>2398069.0448999992</v>
      </c>
      <c r="O76">
        <f t="shared" si="24"/>
        <v>2188446.8356000003</v>
      </c>
      <c r="P76">
        <f t="shared" si="24"/>
        <v>1988325.6064000048</v>
      </c>
      <c r="Q76">
        <f t="shared" si="24"/>
        <v>1797315.6095999985</v>
      </c>
      <c r="R76">
        <f t="shared" si="24"/>
        <v>5384.6244000001498</v>
      </c>
      <c r="S76">
        <f t="shared" si="24"/>
        <v>0</v>
      </c>
      <c r="T76">
        <f t="shared" si="24"/>
        <v>5400.7800999997007</v>
      </c>
      <c r="U76">
        <f t="shared" si="25"/>
        <v>0</v>
      </c>
    </row>
    <row r="77" spans="1:21" x14ac:dyDescent="0.25">
      <c r="A77">
        <v>25460.53</v>
      </c>
      <c r="B77">
        <f t="shared" si="20"/>
        <v>25460.53000000001</v>
      </c>
      <c r="C77">
        <f t="shared" si="21"/>
        <v>8184691.5920317834</v>
      </c>
      <c r="D77">
        <f t="shared" si="21"/>
        <v>2631078.6436191001</v>
      </c>
      <c r="E77">
        <f t="shared" si="21"/>
        <v>2411281.0089444756</v>
      </c>
      <c r="F77">
        <f t="shared" si="21"/>
        <v>2099166.3223703322</v>
      </c>
      <c r="G77">
        <f t="shared" si="21"/>
        <v>21570.796907066484</v>
      </c>
      <c r="H77">
        <f t="shared" si="21"/>
        <v>5400.7800959995338</v>
      </c>
      <c r="I77">
        <f t="shared" si="21"/>
        <v>1.1911400820763599E-22</v>
      </c>
      <c r="J77">
        <f t="shared" si="22"/>
        <v>1.1911400820763599E-22</v>
      </c>
      <c r="L77">
        <f t="shared" si="23"/>
        <v>25460.53</v>
      </c>
      <c r="M77">
        <f t="shared" si="24"/>
        <v>8184691.5920317834</v>
      </c>
      <c r="N77">
        <f t="shared" si="24"/>
        <v>2631078.6435999926</v>
      </c>
      <c r="O77">
        <f t="shared" si="24"/>
        <v>2411281.0088999942</v>
      </c>
      <c r="P77">
        <f t="shared" si="24"/>
        <v>2200979.9448999991</v>
      </c>
      <c r="Q77">
        <f t="shared" si="24"/>
        <v>1999763.6568999926</v>
      </c>
      <c r="R77">
        <f t="shared" si="24"/>
        <v>21570.796899999699</v>
      </c>
      <c r="S77">
        <f t="shared" si="24"/>
        <v>5400.7800999997007</v>
      </c>
      <c r="T77">
        <f t="shared" si="24"/>
        <v>0</v>
      </c>
      <c r="U77">
        <f t="shared" si="25"/>
        <v>0</v>
      </c>
    </row>
    <row r="78" spans="1:21" x14ac:dyDescent="0.25">
      <c r="B78" t="s">
        <v>35</v>
      </c>
      <c r="C78">
        <v>22599.640000011921</v>
      </c>
      <c r="D78" s="8">
        <v>23838.469999994111</v>
      </c>
      <c r="E78">
        <v>23907.699999985678</v>
      </c>
      <c r="F78">
        <v>24011.680000044747</v>
      </c>
      <c r="G78">
        <v>25313.659999975942</v>
      </c>
      <c r="H78">
        <v>25387.040000027217</v>
      </c>
      <c r="I78">
        <v>25460.53000000001</v>
      </c>
      <c r="J78">
        <f>SUM(J69:J77)</f>
        <v>4539.0856000000294</v>
      </c>
      <c r="M78">
        <v>22599.640000011921</v>
      </c>
      <c r="N78">
        <v>23838.47</v>
      </c>
      <c r="O78">
        <v>23907.7</v>
      </c>
      <c r="P78">
        <v>23976.959999999999</v>
      </c>
      <c r="Q78">
        <v>24046.400000000001</v>
      </c>
      <c r="R78">
        <v>25313.66</v>
      </c>
      <c r="S78">
        <v>25387.040000000001</v>
      </c>
      <c r="T78">
        <v>25460.53</v>
      </c>
      <c r="U78">
        <f>SUM(U69:U77)</f>
        <v>2128.1287999998672</v>
      </c>
    </row>
    <row r="79" spans="1:21" x14ac:dyDescent="0.25">
      <c r="E79" s="8"/>
      <c r="J79">
        <f>SQRT(J78)</f>
        <v>67.372736325608969</v>
      </c>
      <c r="U79">
        <f>SQRT(U78)</f>
        <v>46.131646404608922</v>
      </c>
    </row>
    <row r="80" spans="1:21" x14ac:dyDescent="0.25">
      <c r="C80" s="12">
        <v>22567.02</v>
      </c>
      <c r="D80" s="12">
        <v>22632.26</v>
      </c>
      <c r="E80">
        <v>23873.08499996012</v>
      </c>
      <c r="F80" s="8">
        <v>24011.680000009179</v>
      </c>
      <c r="G80" s="12">
        <v>25313.66</v>
      </c>
      <c r="H80" s="12">
        <v>25387.040000321784</v>
      </c>
      <c r="I80" s="12">
        <v>25460.53</v>
      </c>
      <c r="J80">
        <v>4807.3532500001311</v>
      </c>
      <c r="M80" s="12">
        <v>22567.02</v>
      </c>
      <c r="N80" s="12">
        <v>22632.26</v>
      </c>
      <c r="O80" s="13">
        <v>23838.469999994111</v>
      </c>
      <c r="P80" s="12">
        <v>23907.699999985678</v>
      </c>
      <c r="Q80">
        <v>24011.680000044747</v>
      </c>
      <c r="R80" s="12">
        <v>25313.659999975942</v>
      </c>
      <c r="S80" s="12">
        <v>25387.040000027217</v>
      </c>
      <c r="T80" s="12">
        <v>25460.53</v>
      </c>
      <c r="U80">
        <v>2410.9568000001618</v>
      </c>
    </row>
    <row r="81" spans="1:21" x14ac:dyDescent="0.25">
      <c r="C81">
        <v>22599.640000011921</v>
      </c>
      <c r="D81" s="12">
        <v>23838.469999994111</v>
      </c>
      <c r="E81" s="12">
        <v>23907.699999985678</v>
      </c>
      <c r="F81" s="8">
        <v>24011.680000044747</v>
      </c>
      <c r="G81" s="12">
        <v>25313.659999975942</v>
      </c>
      <c r="H81" s="12">
        <v>25387.040000027217</v>
      </c>
      <c r="I81" s="12">
        <v>25460.53000000001</v>
      </c>
      <c r="J81">
        <v>4539.0856000000294</v>
      </c>
      <c r="M81">
        <v>22599.640000011921</v>
      </c>
      <c r="N81" s="12">
        <v>23838.47</v>
      </c>
      <c r="O81" s="12">
        <v>23907.7</v>
      </c>
      <c r="P81" s="12">
        <v>23976.959999999999</v>
      </c>
      <c r="Q81" s="12">
        <v>24046.400000000001</v>
      </c>
      <c r="R81" s="12">
        <v>25313.66</v>
      </c>
      <c r="S81" s="12">
        <v>25387.040000000001</v>
      </c>
      <c r="T81" s="12">
        <v>25460.53</v>
      </c>
      <c r="U81">
        <v>2128.1287999998672</v>
      </c>
    </row>
    <row r="82" spans="1:21" x14ac:dyDescent="0.25">
      <c r="F82" s="8"/>
      <c r="M82" s="12">
        <v>22567.02</v>
      </c>
      <c r="N82" s="12">
        <v>22632.26</v>
      </c>
      <c r="O82" s="12">
        <v>23838.47</v>
      </c>
      <c r="P82" s="12">
        <v>23907.7</v>
      </c>
      <c r="Q82" s="12">
        <v>23976.959999999999</v>
      </c>
      <c r="R82" s="12">
        <v>24046.400000000001</v>
      </c>
      <c r="S82">
        <v>25350.350000041057</v>
      </c>
      <c r="T82" s="12">
        <v>25460.529999998391</v>
      </c>
      <c r="U82">
        <v>2692.3122000000749</v>
      </c>
    </row>
    <row r="83" spans="1:21" x14ac:dyDescent="0.25">
      <c r="F83" s="8"/>
    </row>
    <row r="84" spans="1:21" x14ac:dyDescent="0.25">
      <c r="A84" t="s">
        <v>71</v>
      </c>
      <c r="F84" s="8"/>
    </row>
    <row r="85" spans="1:21" x14ac:dyDescent="0.25">
      <c r="A85" s="6">
        <f>A9</f>
        <v>22567.02</v>
      </c>
      <c r="B85">
        <v>0</v>
      </c>
    </row>
    <row r="86" spans="1:21" x14ac:dyDescent="0.25">
      <c r="A86" s="6">
        <f>A10</f>
        <v>22632.26</v>
      </c>
      <c r="B86">
        <v>0</v>
      </c>
      <c r="E86" s="8"/>
    </row>
    <row r="87" spans="1:21" x14ac:dyDescent="0.25">
      <c r="A87" s="6">
        <f>A11</f>
        <v>23838.47</v>
      </c>
      <c r="B87">
        <v>0</v>
      </c>
    </row>
    <row r="88" spans="1:21" x14ac:dyDescent="0.25">
      <c r="A88" s="6">
        <f>A12</f>
        <v>23907.7</v>
      </c>
      <c r="B88">
        <v>0</v>
      </c>
    </row>
    <row r="89" spans="1:21" x14ac:dyDescent="0.25">
      <c r="A89" s="6">
        <f>A13</f>
        <v>23976.959999999999</v>
      </c>
      <c r="B89">
        <v>0</v>
      </c>
    </row>
    <row r="90" spans="1:21" x14ac:dyDescent="0.25">
      <c r="A90" s="6">
        <f>A14</f>
        <v>24046.400000000001</v>
      </c>
      <c r="B90">
        <v>0</v>
      </c>
    </row>
    <row r="91" spans="1:21" x14ac:dyDescent="0.25">
      <c r="A91" s="6">
        <f>A15</f>
        <v>25313.66</v>
      </c>
      <c r="B91">
        <v>0</v>
      </c>
    </row>
    <row r="92" spans="1:21" x14ac:dyDescent="0.25">
      <c r="A92" s="6">
        <f>A16</f>
        <v>25387.040000000001</v>
      </c>
      <c r="B92">
        <v>0</v>
      </c>
    </row>
    <row r="93" spans="1:21" x14ac:dyDescent="0.25">
      <c r="A93" s="6">
        <f>A17</f>
        <v>25460.53</v>
      </c>
      <c r="B93">
        <v>0</v>
      </c>
    </row>
    <row r="94" spans="1:21" x14ac:dyDescent="0.25">
      <c r="A94" s="6">
        <v>24125.56</v>
      </c>
      <c r="B94">
        <v>1</v>
      </c>
      <c r="C94" t="s">
        <v>19</v>
      </c>
    </row>
    <row r="95" spans="1:21" x14ac:dyDescent="0.25">
      <c r="A95" s="6">
        <f>F44</f>
        <v>23494.801666589708</v>
      </c>
      <c r="B95">
        <v>2</v>
      </c>
      <c r="C95" t="s">
        <v>20</v>
      </c>
      <c r="D95" t="s">
        <v>64</v>
      </c>
      <c r="F95" t="s">
        <v>65</v>
      </c>
      <c r="H95" t="s">
        <v>24</v>
      </c>
    </row>
    <row r="96" spans="1:21" x14ac:dyDescent="0.25">
      <c r="A96">
        <f>G44</f>
        <v>25387.076667073325</v>
      </c>
      <c r="B96">
        <v>2</v>
      </c>
      <c r="D96" t="s">
        <v>21</v>
      </c>
      <c r="E96" t="s">
        <v>22</v>
      </c>
      <c r="F96" t="s">
        <v>21</v>
      </c>
      <c r="G96" t="s">
        <v>22</v>
      </c>
      <c r="H96" t="s">
        <v>21</v>
      </c>
      <c r="I96" t="s">
        <v>22</v>
      </c>
    </row>
    <row r="97" spans="1:9" x14ac:dyDescent="0.25">
      <c r="A97">
        <f>K44</f>
        <v>22599.639949702298</v>
      </c>
      <c r="B97">
        <v>3</v>
      </c>
      <c r="D97">
        <f>$A97/AVERAGE(K$45:L$45)</f>
        <v>16.215356433960366</v>
      </c>
      <c r="E97">
        <v>15</v>
      </c>
      <c r="F97">
        <f>$A86/AVERAGE(K$49:L$49)</f>
        <v>16.004313590993785</v>
      </c>
      <c r="G97">
        <v>15</v>
      </c>
      <c r="H97">
        <f>$A97/1340</f>
        <v>16.865402947539028</v>
      </c>
      <c r="I97">
        <v>16</v>
      </c>
    </row>
    <row r="98" spans="1:9" x14ac:dyDescent="0.25">
      <c r="A98">
        <f>L44</f>
        <v>23942.382437794437</v>
      </c>
      <c r="B98">
        <v>3</v>
      </c>
      <c r="D98">
        <f t="shared" ref="D98:D99" si="26">$A98/AVERAGE(K$45:L$45)</f>
        <v>17.178780988152155</v>
      </c>
      <c r="E98">
        <v>16</v>
      </c>
      <c r="F98">
        <f>$A90/AVERAGE(K$49:L$49)</f>
        <v>17.004317126724111</v>
      </c>
      <c r="G98">
        <v>16</v>
      </c>
      <c r="H98">
        <f t="shared" ref="H98:H99" si="27">$A98/1340</f>
        <v>17.867449580443608</v>
      </c>
      <c r="I98">
        <v>17</v>
      </c>
    </row>
    <row r="99" spans="1:9" x14ac:dyDescent="0.25">
      <c r="A99">
        <f>M44</f>
        <v>25387.076666464331</v>
      </c>
      <c r="B99">
        <v>3</v>
      </c>
      <c r="D99">
        <f t="shared" si="26"/>
        <v>18.215356433960366</v>
      </c>
      <c r="E99">
        <v>17</v>
      </c>
      <c r="F99">
        <f>$A93/AVERAGE(K$49:L$49)</f>
        <v>18.004313590993785</v>
      </c>
      <c r="G99">
        <v>17</v>
      </c>
      <c r="H99">
        <f t="shared" si="27"/>
        <v>18.945579601839054</v>
      </c>
      <c r="I99">
        <v>18</v>
      </c>
    </row>
    <row r="100" spans="1:9" x14ac:dyDescent="0.25">
      <c r="A100">
        <v>22599.639999999577</v>
      </c>
      <c r="B100">
        <v>4</v>
      </c>
    </row>
    <row r="101" spans="1:9" x14ac:dyDescent="0.25">
      <c r="A101">
        <v>23873.084999999301</v>
      </c>
      <c r="B101">
        <v>4</v>
      </c>
    </row>
    <row r="102" spans="1:9" x14ac:dyDescent="0.25">
      <c r="A102">
        <v>24011.679999999909</v>
      </c>
      <c r="B102">
        <v>4</v>
      </c>
    </row>
    <row r="103" spans="1:9" x14ac:dyDescent="0.25">
      <c r="A103">
        <v>25387.076666667162</v>
      </c>
      <c r="B103">
        <v>4</v>
      </c>
      <c r="D103" t="s">
        <v>62</v>
      </c>
      <c r="E103" t="s">
        <v>63</v>
      </c>
    </row>
    <row r="104" spans="1:9" x14ac:dyDescent="0.25">
      <c r="A104">
        <v>22599.640000012569</v>
      </c>
      <c r="B104">
        <v>5</v>
      </c>
      <c r="D104">
        <v>1</v>
      </c>
      <c r="E104">
        <v>3098.7549170917018</v>
      </c>
    </row>
    <row r="105" spans="1:9" x14ac:dyDescent="0.25">
      <c r="A105">
        <v>23873.084999981453</v>
      </c>
      <c r="B105">
        <v>5</v>
      </c>
      <c r="D105">
        <v>2</v>
      </c>
      <c r="E105">
        <v>1562.3292498542053</v>
      </c>
    </row>
    <row r="106" spans="1:9" x14ac:dyDescent="0.25">
      <c r="A106">
        <v>24011.680000080141</v>
      </c>
      <c r="B106">
        <v>5</v>
      </c>
      <c r="D106">
        <v>3</v>
      </c>
      <c r="E106">
        <v>192.17038414304861</v>
      </c>
    </row>
    <row r="107" spans="1:9" x14ac:dyDescent="0.25">
      <c r="A107">
        <v>25350.350000041057</v>
      </c>
      <c r="B107">
        <v>5</v>
      </c>
      <c r="D107">
        <v>4</v>
      </c>
      <c r="E107">
        <v>133.11980512555792</v>
      </c>
    </row>
    <row r="108" spans="1:9" x14ac:dyDescent="0.25">
      <c r="A108">
        <v>25460.529999998391</v>
      </c>
      <c r="B108">
        <v>5</v>
      </c>
      <c r="D108">
        <v>5</v>
      </c>
      <c r="E108">
        <v>98.121324134971147</v>
      </c>
    </row>
    <row r="109" spans="1:9" x14ac:dyDescent="0.25">
      <c r="A109">
        <v>22599.639999999989</v>
      </c>
      <c r="B109">
        <v>6</v>
      </c>
      <c r="D109">
        <v>6</v>
      </c>
      <c r="E109">
        <v>83.279541605366674</v>
      </c>
    </row>
    <row r="110" spans="1:9" x14ac:dyDescent="0.25">
      <c r="A110">
        <v>23873.084999999981</v>
      </c>
      <c r="B110">
        <v>6</v>
      </c>
      <c r="D110">
        <v>7</v>
      </c>
      <c r="E110">
        <v>67.372736325608969</v>
      </c>
    </row>
    <row r="111" spans="1:9" x14ac:dyDescent="0.25">
      <c r="A111">
        <v>24011.679999999997</v>
      </c>
      <c r="B111">
        <v>6</v>
      </c>
      <c r="D111">
        <v>8</v>
      </c>
      <c r="E111">
        <v>46.131646404608922</v>
      </c>
    </row>
    <row r="112" spans="1:9" x14ac:dyDescent="0.25">
      <c r="A112">
        <v>25313.659999931151</v>
      </c>
      <c r="B112">
        <v>6</v>
      </c>
      <c r="D112">
        <v>9</v>
      </c>
      <c r="E112">
        <v>0</v>
      </c>
    </row>
    <row r="113" spans="1:2" x14ac:dyDescent="0.25">
      <c r="A113">
        <v>25387.039999997367</v>
      </c>
      <c r="B113">
        <v>6</v>
      </c>
    </row>
    <row r="114" spans="1:2" x14ac:dyDescent="0.25">
      <c r="A114">
        <v>25460.530000123137</v>
      </c>
      <c r="B114">
        <v>6</v>
      </c>
    </row>
    <row r="115" spans="1:2" x14ac:dyDescent="0.25">
      <c r="A115">
        <v>22599.640000011921</v>
      </c>
      <c r="B115">
        <v>7</v>
      </c>
    </row>
    <row r="116" spans="1:2" x14ac:dyDescent="0.25">
      <c r="A116" s="14">
        <v>23838.469999994111</v>
      </c>
      <c r="B116">
        <v>7</v>
      </c>
    </row>
    <row r="117" spans="1:2" x14ac:dyDescent="0.25">
      <c r="A117">
        <v>23907.699999985678</v>
      </c>
      <c r="B117">
        <v>7</v>
      </c>
    </row>
    <row r="118" spans="1:2" x14ac:dyDescent="0.25">
      <c r="A118">
        <v>24011.680000044747</v>
      </c>
      <c r="B118">
        <v>7</v>
      </c>
    </row>
    <row r="119" spans="1:2" x14ac:dyDescent="0.25">
      <c r="A119">
        <v>25313.659999975942</v>
      </c>
      <c r="B119">
        <v>7</v>
      </c>
    </row>
    <row r="120" spans="1:2" x14ac:dyDescent="0.25">
      <c r="A120">
        <v>25387.040000027217</v>
      </c>
      <c r="B120">
        <v>7</v>
      </c>
    </row>
    <row r="121" spans="1:2" x14ac:dyDescent="0.25">
      <c r="A121">
        <v>25460.53000000001</v>
      </c>
      <c r="B121">
        <v>7</v>
      </c>
    </row>
    <row r="122" spans="1:2" x14ac:dyDescent="0.25">
      <c r="A122">
        <v>22599.640000011921</v>
      </c>
      <c r="B122">
        <v>8</v>
      </c>
    </row>
    <row r="123" spans="1:2" x14ac:dyDescent="0.25">
      <c r="A123">
        <v>23838.47</v>
      </c>
      <c r="B123">
        <v>8</v>
      </c>
    </row>
    <row r="124" spans="1:2" x14ac:dyDescent="0.25">
      <c r="A124">
        <v>23907.7</v>
      </c>
      <c r="B124">
        <v>8</v>
      </c>
    </row>
    <row r="125" spans="1:2" x14ac:dyDescent="0.25">
      <c r="A125">
        <v>23976.959999999999</v>
      </c>
      <c r="B125">
        <v>8</v>
      </c>
    </row>
    <row r="126" spans="1:2" x14ac:dyDescent="0.25">
      <c r="A126">
        <v>24046.400000000001</v>
      </c>
      <c r="B126">
        <v>8</v>
      </c>
    </row>
    <row r="127" spans="1:2" x14ac:dyDescent="0.25">
      <c r="A127">
        <v>25313.66</v>
      </c>
      <c r="B127">
        <v>8</v>
      </c>
    </row>
    <row r="128" spans="1:2" x14ac:dyDescent="0.25">
      <c r="A128">
        <v>25387.040000000001</v>
      </c>
      <c r="B128">
        <v>8</v>
      </c>
    </row>
    <row r="129" spans="1:9" x14ac:dyDescent="0.25">
      <c r="A129">
        <v>25460.53</v>
      </c>
      <c r="B129">
        <v>8</v>
      </c>
    </row>
    <row r="131" spans="1:9" s="10" customFormat="1" x14ac:dyDescent="0.25">
      <c r="A131" s="10" t="s">
        <v>70</v>
      </c>
    </row>
    <row r="132" spans="1:9" s="11" customFormat="1" x14ac:dyDescent="0.25"/>
    <row r="133" spans="1:9" s="10" customFormat="1" x14ac:dyDescent="0.25">
      <c r="A133" s="10" t="s">
        <v>72</v>
      </c>
    </row>
    <row r="134" spans="1:9" s="11" customFormat="1" x14ac:dyDescent="0.25"/>
    <row r="135" spans="1:9" x14ac:dyDescent="0.25">
      <c r="B135" t="s">
        <v>22</v>
      </c>
      <c r="C135" t="s">
        <v>21</v>
      </c>
      <c r="D135" t="s">
        <v>23</v>
      </c>
      <c r="F135" t="s">
        <v>24</v>
      </c>
      <c r="G135" t="s">
        <v>25</v>
      </c>
    </row>
    <row r="136" spans="1:9" x14ac:dyDescent="0.25">
      <c r="A136" s="6">
        <f>A9</f>
        <v>22567.02</v>
      </c>
      <c r="B136">
        <v>15</v>
      </c>
      <c r="C136">
        <f>B136+1</f>
        <v>16</v>
      </c>
      <c r="D136">
        <f>A136/C136</f>
        <v>1410.43875</v>
      </c>
      <c r="F136">
        <f>2*F$145*C136</f>
        <v>22558.621999999999</v>
      </c>
      <c r="G136">
        <f>(A136-F136)^2</f>
        <v>70.526404000017592</v>
      </c>
      <c r="I136" s="7" t="s">
        <v>34</v>
      </c>
    </row>
    <row r="137" spans="1:9" x14ac:dyDescent="0.25">
      <c r="A137" s="6">
        <f>A10</f>
        <v>22632.26</v>
      </c>
      <c r="B137">
        <v>15</v>
      </c>
      <c r="C137">
        <f t="shared" ref="C137:C144" si="28">B137+1</f>
        <v>16</v>
      </c>
      <c r="D137">
        <f t="shared" ref="D137:D144" si="29">A137/C137</f>
        <v>1414.5162499999999</v>
      </c>
      <c r="F137">
        <f t="shared" ref="F137:F144" si="30">2*F$145*C137</f>
        <v>22558.621999999999</v>
      </c>
      <c r="G137">
        <f t="shared" ref="G137:G144" si="31">(A137-F137)^2</f>
        <v>5422.5550439998542</v>
      </c>
    </row>
    <row r="138" spans="1:9" x14ac:dyDescent="0.25">
      <c r="A138" s="6">
        <f>A11</f>
        <v>23838.47</v>
      </c>
      <c r="B138">
        <v>16</v>
      </c>
      <c r="C138">
        <f t="shared" si="28"/>
        <v>17</v>
      </c>
      <c r="D138">
        <f t="shared" si="29"/>
        <v>1402.2629411764706</v>
      </c>
      <c r="F138">
        <f t="shared" si="30"/>
        <v>23968.535874999998</v>
      </c>
      <c r="G138">
        <f t="shared" si="31"/>
        <v>16917.131839514739</v>
      </c>
    </row>
    <row r="139" spans="1:9" x14ac:dyDescent="0.25">
      <c r="A139" s="6">
        <f>A12</f>
        <v>23907.7</v>
      </c>
      <c r="B139">
        <v>16</v>
      </c>
      <c r="C139">
        <f t="shared" si="28"/>
        <v>17</v>
      </c>
      <c r="D139">
        <f t="shared" si="29"/>
        <v>1406.3352941176472</v>
      </c>
      <c r="F139">
        <f t="shared" si="30"/>
        <v>23968.535874999998</v>
      </c>
      <c r="G139">
        <f t="shared" si="31"/>
        <v>3701.0036870152639</v>
      </c>
    </row>
    <row r="140" spans="1:9" x14ac:dyDescent="0.25">
      <c r="A140" s="6">
        <f>A13</f>
        <v>23976.959999999999</v>
      </c>
      <c r="B140">
        <v>16</v>
      </c>
      <c r="C140">
        <f t="shared" si="28"/>
        <v>17</v>
      </c>
      <c r="D140">
        <f t="shared" si="29"/>
        <v>1410.4094117647057</v>
      </c>
      <c r="F140">
        <f t="shared" si="30"/>
        <v>23968.535874999998</v>
      </c>
      <c r="G140">
        <f t="shared" si="31"/>
        <v>70.965882015648049</v>
      </c>
    </row>
    <row r="141" spans="1:9" x14ac:dyDescent="0.25">
      <c r="A141" s="6">
        <f>A14</f>
        <v>24046.400000000001</v>
      </c>
      <c r="B141">
        <v>16</v>
      </c>
      <c r="C141">
        <f t="shared" si="28"/>
        <v>17</v>
      </c>
      <c r="D141">
        <f t="shared" si="29"/>
        <v>1414.4941176470588</v>
      </c>
      <c r="F141">
        <f t="shared" si="30"/>
        <v>23968.535874999998</v>
      </c>
      <c r="G141">
        <f t="shared" si="31"/>
        <v>6062.8219620162008</v>
      </c>
    </row>
    <row r="142" spans="1:9" x14ac:dyDescent="0.25">
      <c r="A142" s="6">
        <f>A15</f>
        <v>25313.66</v>
      </c>
      <c r="B142">
        <v>17</v>
      </c>
      <c r="C142">
        <f t="shared" si="28"/>
        <v>18</v>
      </c>
      <c r="D142">
        <f t="shared" si="29"/>
        <v>1406.3144444444445</v>
      </c>
      <c r="F142">
        <f t="shared" si="30"/>
        <v>25378.44975</v>
      </c>
      <c r="G142">
        <f t="shared" si="31"/>
        <v>4197.7117050624884</v>
      </c>
    </row>
    <row r="143" spans="1:9" x14ac:dyDescent="0.25">
      <c r="A143" s="6">
        <f>A16</f>
        <v>25387.040000000001</v>
      </c>
      <c r="B143">
        <v>17</v>
      </c>
      <c r="C143">
        <f t="shared" si="28"/>
        <v>18</v>
      </c>
      <c r="D143">
        <f t="shared" si="29"/>
        <v>1410.3911111111111</v>
      </c>
      <c r="F143">
        <f t="shared" si="30"/>
        <v>25378.44975</v>
      </c>
      <c r="G143">
        <f t="shared" si="31"/>
        <v>73.792395062519006</v>
      </c>
    </row>
    <row r="144" spans="1:9" x14ac:dyDescent="0.25">
      <c r="A144" s="6">
        <f>A17</f>
        <v>25460.53</v>
      </c>
      <c r="B144">
        <v>17</v>
      </c>
      <c r="C144">
        <f t="shared" si="28"/>
        <v>18</v>
      </c>
      <c r="D144">
        <f t="shared" si="29"/>
        <v>1414.4738888888887</v>
      </c>
      <c r="F144">
        <f t="shared" si="30"/>
        <v>25378.44975</v>
      </c>
      <c r="G144">
        <f t="shared" si="31"/>
        <v>6737.1674400623469</v>
      </c>
    </row>
    <row r="145" spans="1:7" x14ac:dyDescent="0.25">
      <c r="A145" s="6"/>
      <c r="E145" t="s">
        <v>28</v>
      </c>
      <c r="F145">
        <v>704.95693749999998</v>
      </c>
      <c r="G145">
        <f>SUM(G136:G144)</f>
        <v>43253.676358749079</v>
      </c>
    </row>
    <row r="146" spans="1:7" x14ac:dyDescent="0.25">
      <c r="A146" s="6"/>
      <c r="E146" t="s">
        <v>29</v>
      </c>
      <c r="F146">
        <f>F145*1000000/(B148*100)</f>
        <v>2.3514832301084771E-2</v>
      </c>
    </row>
    <row r="147" spans="1:7" ht="17.25" x14ac:dyDescent="0.25">
      <c r="A147" s="6" t="s">
        <v>31</v>
      </c>
      <c r="B147">
        <v>6.6260700400000001</v>
      </c>
      <c r="C147">
        <v>8.0999999999999997E-8</v>
      </c>
      <c r="E147" t="s">
        <v>26</v>
      </c>
      <c r="F147">
        <f>B147*10^-34/(8*F145*10^6*PI()^2)</f>
        <v>1.1904295561135473E-44</v>
      </c>
    </row>
    <row r="148" spans="1:7" x14ac:dyDescent="0.25">
      <c r="A148" s="6" t="s">
        <v>32</v>
      </c>
      <c r="B148">
        <v>299792458</v>
      </c>
      <c r="C148" t="s">
        <v>30</v>
      </c>
      <c r="E148" t="s">
        <v>27</v>
      </c>
      <c r="F148">
        <f>SQRT(F147/(B149*10^-27*B7))</f>
        <v>3.3231145406133584E-10</v>
      </c>
    </row>
    <row r="149" spans="1:7" ht="17.25" x14ac:dyDescent="0.25">
      <c r="A149" s="6" t="s">
        <v>33</v>
      </c>
      <c r="B149">
        <v>1.66053904</v>
      </c>
    </row>
    <row r="150" spans="1:7" x14ac:dyDescent="0.25">
      <c r="A150" s="6"/>
    </row>
    <row r="151" spans="1:7" x14ac:dyDescent="0.25">
      <c r="B151" t="s">
        <v>22</v>
      </c>
    </row>
    <row r="152" spans="1:7" x14ac:dyDescent="0.25">
      <c r="A152">
        <v>1414.5162499999999</v>
      </c>
      <c r="B152">
        <v>15</v>
      </c>
    </row>
    <row r="153" spans="1:7" x14ac:dyDescent="0.25">
      <c r="A153">
        <v>1410.43875</v>
      </c>
      <c r="B153">
        <v>15</v>
      </c>
    </row>
    <row r="154" spans="1:7" x14ac:dyDescent="0.25">
      <c r="A154">
        <v>1414.4941176470588</v>
      </c>
      <c r="B154">
        <v>16</v>
      </c>
    </row>
    <row r="155" spans="1:7" x14ac:dyDescent="0.25">
      <c r="A155">
        <v>1410.4094117647057</v>
      </c>
      <c r="B155">
        <v>16</v>
      </c>
    </row>
    <row r="156" spans="1:7" x14ac:dyDescent="0.25">
      <c r="A156">
        <v>1406.3352941176472</v>
      </c>
      <c r="B156">
        <v>16</v>
      </c>
    </row>
    <row r="157" spans="1:7" x14ac:dyDescent="0.25">
      <c r="A157">
        <v>1402.2629411764706</v>
      </c>
      <c r="B157">
        <v>16</v>
      </c>
    </row>
    <row r="158" spans="1:7" x14ac:dyDescent="0.25">
      <c r="A158">
        <v>1414.4738888888887</v>
      </c>
      <c r="B158">
        <v>17</v>
      </c>
    </row>
    <row r="159" spans="1:7" x14ac:dyDescent="0.25">
      <c r="A159">
        <v>1410.3911111111111</v>
      </c>
      <c r="B159">
        <v>17</v>
      </c>
    </row>
    <row r="160" spans="1:7" x14ac:dyDescent="0.25">
      <c r="A160">
        <v>1406.3144444444445</v>
      </c>
      <c r="B160">
        <v>17</v>
      </c>
    </row>
    <row r="162" spans="1:29" s="10" customFormat="1" x14ac:dyDescent="0.25">
      <c r="A162" s="10" t="s">
        <v>73</v>
      </c>
    </row>
    <row r="164" spans="1:29" x14ac:dyDescent="0.25">
      <c r="B164" t="s">
        <v>9</v>
      </c>
      <c r="C164" t="s">
        <v>10</v>
      </c>
      <c r="E164" t="s">
        <v>12</v>
      </c>
      <c r="F164" t="s">
        <v>14</v>
      </c>
      <c r="G164" t="s">
        <v>15</v>
      </c>
      <c r="H164" t="s">
        <v>16</v>
      </c>
      <c r="J164" t="s">
        <v>13</v>
      </c>
      <c r="K164" t="s">
        <v>14</v>
      </c>
      <c r="L164" t="s">
        <v>15</v>
      </c>
      <c r="M164" t="s">
        <v>18</v>
      </c>
      <c r="N164" t="s">
        <v>16</v>
      </c>
      <c r="P164" t="s">
        <v>17</v>
      </c>
      <c r="Q164" t="s">
        <v>14</v>
      </c>
      <c r="R164" t="s">
        <v>15</v>
      </c>
      <c r="S164" t="s">
        <v>18</v>
      </c>
      <c r="T164" t="s">
        <v>36</v>
      </c>
      <c r="U164" t="s">
        <v>16</v>
      </c>
      <c r="W164" t="s">
        <v>66</v>
      </c>
      <c r="X164" t="s">
        <v>14</v>
      </c>
      <c r="Y164" t="s">
        <v>15</v>
      </c>
      <c r="Z164" t="s">
        <v>18</v>
      </c>
      <c r="AA164" t="s">
        <v>36</v>
      </c>
      <c r="AB164" t="s">
        <v>54</v>
      </c>
      <c r="AC164" t="s">
        <v>16</v>
      </c>
    </row>
    <row r="165" spans="1:29" x14ac:dyDescent="0.25">
      <c r="A165">
        <v>1414.5162499999999</v>
      </c>
      <c r="B165" s="6">
        <f t="shared" ref="B165:B173" si="32">B$175</f>
        <v>1409.9595787944806</v>
      </c>
      <c r="C165" s="6">
        <f>(A165-B165)^2</f>
        <v>20.763252475208265</v>
      </c>
      <c r="D165" s="6"/>
      <c r="E165">
        <f>INDEX(F$175:G$175,MATCH(H165,F165:G165,0))</f>
        <v>1412.4539066092793</v>
      </c>
      <c r="F165">
        <f t="shared" ref="F165:G173" si="33">($A165-F$175)^2</f>
        <v>91.113279894989873</v>
      </c>
      <c r="G165">
        <f t="shared" si="33"/>
        <v>4.2532602612488208</v>
      </c>
      <c r="H165">
        <f>MIN(F165:G165)</f>
        <v>4.2532602612488208</v>
      </c>
      <c r="J165">
        <f>INDEX(K$175:M$175,MATCH(N165,K165:M165,0))</f>
        <v>1414.4947521786562</v>
      </c>
      <c r="K165">
        <f t="shared" ref="K165:M173" si="34">($A165-K$175)^2</f>
        <v>91.113835557514548</v>
      </c>
      <c r="L165">
        <f t="shared" si="34"/>
        <v>16.835914119091413</v>
      </c>
      <c r="M165">
        <f t="shared" si="34"/>
        <v>4.6215632252567367E-4</v>
      </c>
      <c r="N165">
        <f>MIN(K165:M165)</f>
        <v>4.6215632252567367E-4</v>
      </c>
      <c r="P165">
        <f>INDEX(Q$175:T$175,MATCH(U165,Q165:T165,0))</f>
        <v>1414.4947582090615</v>
      </c>
      <c r="Q165">
        <f t="shared" ref="Q165:T173" si="35">($A165-Q$175)^2</f>
        <v>150.17758039520385</v>
      </c>
      <c r="R165">
        <f t="shared" si="35"/>
        <v>67.121663252291285</v>
      </c>
      <c r="S165">
        <f t="shared" si="35"/>
        <v>16.835974664093417</v>
      </c>
      <c r="T165">
        <f t="shared" si="35"/>
        <v>4.6189707773982707E-4</v>
      </c>
      <c r="U165">
        <f>MIN(Q165:T165)</f>
        <v>4.6189707773982707E-4</v>
      </c>
      <c r="W165">
        <f>INDEX(X$175:AB$175,MATCH(AC165,X165:AB165,0))</f>
        <v>1414.4947521786496</v>
      </c>
      <c r="X165">
        <f>($A165-X$175)^2</f>
        <v>150.14357712478159</v>
      </c>
      <c r="Y165">
        <f t="shared" ref="X165:AB173" si="36">($A165-Y$175)^2</f>
        <v>67.098718082854276</v>
      </c>
      <c r="Z165">
        <f t="shared" si="36"/>
        <v>16.941361843261518</v>
      </c>
      <c r="AA165">
        <f t="shared" si="36"/>
        <v>16.626006249995253</v>
      </c>
      <c r="AB165">
        <f>($A165-AB$175)^2</f>
        <v>4.6215632280917991E-4</v>
      </c>
      <c r="AC165">
        <f>MIN(X165:AB165)</f>
        <v>4.6215632280917991E-4</v>
      </c>
    </row>
    <row r="166" spans="1:29" x14ac:dyDescent="0.25">
      <c r="A166">
        <v>1410.43875</v>
      </c>
      <c r="B166" s="6">
        <f t="shared" si="32"/>
        <v>1409.9595787944806</v>
      </c>
      <c r="C166" s="6">
        <f t="shared" ref="C166:C173" si="37">(A166-B166)^2</f>
        <v>0.22960504419889438</v>
      </c>
      <c r="D166" s="6"/>
      <c r="E166">
        <f t="shared" ref="E166:E173" si="38">INDEX(F$175:G$175,MATCH(H166,F166:G166,0))</f>
        <v>1412.4539066092793</v>
      </c>
      <c r="F166">
        <f t="shared" si="33"/>
        <v>29.897139180969234</v>
      </c>
      <c r="G166">
        <f t="shared" si="33"/>
        <v>4.0608561599220527</v>
      </c>
      <c r="H166">
        <f t="shared" ref="H166:H173" si="39">MIN(F166:G166)</f>
        <v>4.0608561599220527</v>
      </c>
      <c r="J166">
        <f t="shared" ref="J166:J173" si="40">INDEX(K$175:M$175,MATCH(N166,K166:M166,0))</f>
        <v>1410.4130909585915</v>
      </c>
      <c r="K166">
        <f t="shared" si="34"/>
        <v>29.897457480191814</v>
      </c>
      <c r="L166">
        <f t="shared" si="34"/>
        <v>6.583864060039754E-4</v>
      </c>
      <c r="M166">
        <f t="shared" si="34"/>
        <v>16.451153673263615</v>
      </c>
      <c r="N166">
        <f t="shared" ref="N166:N173" si="41">MIN(K166:M166)</f>
        <v>6.583864060039754E-4</v>
      </c>
      <c r="P166">
        <f t="shared" ref="P166:P173" si="42">INDEX(Q$175:T$175,MATCH(U166,Q166:T166,0))</f>
        <v>1410.4130835807459</v>
      </c>
      <c r="Q166">
        <f t="shared" si="35"/>
        <v>66.866538654772739</v>
      </c>
      <c r="R166">
        <f t="shared" si="35"/>
        <v>16.93553908444111</v>
      </c>
      <c r="S166">
        <f t="shared" si="35"/>
        <v>6.5876507732691967E-4</v>
      </c>
      <c r="T166">
        <f t="shared" si="35"/>
        <v>16.451202591974067</v>
      </c>
      <c r="U166">
        <f t="shared" ref="U166:U173" si="43">MIN(Q166:T166)</f>
        <v>6.5876507732691967E-4</v>
      </c>
      <c r="W166">
        <f t="shared" ref="W166:W172" si="44">INDEX(X$175:AB$175,MATCH(AC166,X166:AB166,0))</f>
        <v>1410.4387500000005</v>
      </c>
      <c r="X166">
        <f t="shared" si="36"/>
        <v>66.843849918902023</v>
      </c>
      <c r="Y166">
        <f t="shared" si="36"/>
        <v>16.924014569783996</v>
      </c>
      <c r="Z166">
        <f t="shared" si="36"/>
        <v>1.4813694118199464E-3</v>
      </c>
      <c r="AA166">
        <f t="shared" si="36"/>
        <v>2.0679515313825692E-25</v>
      </c>
      <c r="AB166">
        <f>($A166-AB$175)^2</f>
        <v>16.451153673210126</v>
      </c>
      <c r="AC166">
        <f t="shared" ref="AC166:AC173" si="45">MIN(X166:AB166)</f>
        <v>2.0679515313825692E-25</v>
      </c>
    </row>
    <row r="167" spans="1:29" x14ac:dyDescent="0.25">
      <c r="A167">
        <v>1414.4941176470588</v>
      </c>
      <c r="B167" s="6">
        <f t="shared" si="32"/>
        <v>1409.9595787944806</v>
      </c>
      <c r="C167" s="6">
        <f t="shared" si="37"/>
        <v>20.562042605541038</v>
      </c>
      <c r="D167" s="6"/>
      <c r="E167">
        <f t="shared" si="38"/>
        <v>1412.4539066092793</v>
      </c>
      <c r="F167">
        <f t="shared" si="33"/>
        <v>90.69124861517858</v>
      </c>
      <c r="G167">
        <f t="shared" si="33"/>
        <v>4.1624610786773033</v>
      </c>
      <c r="H167">
        <f t="shared" si="39"/>
        <v>4.1624610786773033</v>
      </c>
      <c r="J167">
        <f t="shared" si="40"/>
        <v>1414.4947521786562</v>
      </c>
      <c r="K167">
        <f t="shared" si="34"/>
        <v>90.691802989313715</v>
      </c>
      <c r="L167">
        <f t="shared" si="34"/>
        <v>16.654778831982526</v>
      </c>
      <c r="M167">
        <f t="shared" si="34"/>
        <v>4.0263034806139225E-7</v>
      </c>
      <c r="N167">
        <f t="shared" si="41"/>
        <v>4.0263034806139225E-7</v>
      </c>
      <c r="P167">
        <f t="shared" si="42"/>
        <v>1414.4947582090615</v>
      </c>
      <c r="Q167">
        <f t="shared" si="35"/>
        <v>149.63561971068023</v>
      </c>
      <c r="R167">
        <f t="shared" si="35"/>
        <v>66.759502044618742</v>
      </c>
      <c r="S167">
        <f t="shared" si="35"/>
        <v>16.654839050406366</v>
      </c>
      <c r="T167">
        <f t="shared" si="35"/>
        <v>4.103196792679263E-7</v>
      </c>
      <c r="U167">
        <f t="shared" si="43"/>
        <v>4.103196792679263E-7</v>
      </c>
      <c r="W167">
        <f t="shared" si="44"/>
        <v>1414.4947521786496</v>
      </c>
      <c r="X167">
        <f t="shared" si="36"/>
        <v>149.60167785467169</v>
      </c>
      <c r="Y167">
        <f t="shared" si="36"/>
        <v>66.736618865607824</v>
      </c>
      <c r="Z167">
        <f t="shared" si="36"/>
        <v>16.759658661193022</v>
      </c>
      <c r="AA167">
        <f t="shared" si="36"/>
        <v>16.446006752807552</v>
      </c>
      <c r="AB167">
        <f t="shared" si="36"/>
        <v>4.0263033969339696E-7</v>
      </c>
      <c r="AC167">
        <f t="shared" si="45"/>
        <v>4.0263033969339696E-7</v>
      </c>
    </row>
    <row r="168" spans="1:29" x14ac:dyDescent="0.25">
      <c r="A168">
        <v>1410.4094117647057</v>
      </c>
      <c r="B168" s="6">
        <f t="shared" si="32"/>
        <v>1409.9595787944806</v>
      </c>
      <c r="C168" s="6">
        <f t="shared" si="37"/>
        <v>0.20234970110152536</v>
      </c>
      <c r="D168" s="6"/>
      <c r="E168">
        <f t="shared" si="38"/>
        <v>1412.4539066092793</v>
      </c>
      <c r="F168">
        <f t="shared" si="33"/>
        <v>29.577167084887098</v>
      </c>
      <c r="G168">
        <f t="shared" si="33"/>
        <v>4.1799591694879954</v>
      </c>
      <c r="H168">
        <f t="shared" si="39"/>
        <v>4.1799591694879954</v>
      </c>
      <c r="J168">
        <f t="shared" si="40"/>
        <v>1410.4130909585915</v>
      </c>
      <c r="K168">
        <f t="shared" si="34"/>
        <v>29.577483676244462</v>
      </c>
      <c r="L168">
        <f t="shared" si="34"/>
        <v>1.3536467649110914E-5</v>
      </c>
      <c r="M168">
        <f t="shared" si="34"/>
        <v>16.690006297856932</v>
      </c>
      <c r="N168">
        <f t="shared" si="41"/>
        <v>1.3536467649110914E-5</v>
      </c>
      <c r="P168">
        <f t="shared" si="42"/>
        <v>1410.4130835807459</v>
      </c>
      <c r="Q168">
        <f t="shared" si="35"/>
        <v>66.387590371046969</v>
      </c>
      <c r="R168">
        <f t="shared" si="35"/>
        <v>16.694929642125121</v>
      </c>
      <c r="S168">
        <f t="shared" si="35"/>
        <v>1.3482233033041096E-5</v>
      </c>
      <c r="T168">
        <f t="shared" si="35"/>
        <v>16.690055570410284</v>
      </c>
      <c r="U168">
        <f t="shared" si="43"/>
        <v>1.3482233033041096E-5</v>
      </c>
      <c r="W168">
        <f t="shared" si="44"/>
        <v>1410.4002614379092</v>
      </c>
      <c r="X168">
        <f t="shared" si="36"/>
        <v>66.364983044980534</v>
      </c>
      <c r="Y168">
        <f t="shared" si="36"/>
        <v>16.683487300823533</v>
      </c>
      <c r="Z168">
        <f t="shared" si="36"/>
        <v>8.3728480483543776E-5</v>
      </c>
      <c r="AA168">
        <f t="shared" si="36"/>
        <v>8.607320502098015E-4</v>
      </c>
      <c r="AB168">
        <f t="shared" si="36"/>
        <v>16.690006297803055</v>
      </c>
      <c r="AC168">
        <f t="shared" si="45"/>
        <v>8.3728480483543776E-5</v>
      </c>
    </row>
    <row r="169" spans="1:29" x14ac:dyDescent="0.25">
      <c r="A169">
        <v>1406.3352941176472</v>
      </c>
      <c r="B169" s="6">
        <f t="shared" si="32"/>
        <v>1409.9595787944806</v>
      </c>
      <c r="C169" s="6">
        <f t="shared" si="37"/>
        <v>13.135439418729675</v>
      </c>
      <c r="D169" s="6"/>
      <c r="E169">
        <f t="shared" si="38"/>
        <v>1404.9709223526643</v>
      </c>
      <c r="F169">
        <f t="shared" si="33"/>
        <v>1.8615103130826467</v>
      </c>
      <c r="G169">
        <f t="shared" si="33"/>
        <v>37.437418822756626</v>
      </c>
      <c r="H169">
        <f t="shared" si="39"/>
        <v>1.8615103130826467</v>
      </c>
      <c r="J169">
        <f t="shared" si="40"/>
        <v>1404.9708932461895</v>
      </c>
      <c r="K169">
        <f t="shared" si="34"/>
        <v>1.8615897380346587</v>
      </c>
      <c r="L169">
        <f t="shared" si="34"/>
        <v>16.628427076015328</v>
      </c>
      <c r="M169">
        <f t="shared" si="34"/>
        <v>66.576755849364602</v>
      </c>
      <c r="N169">
        <f t="shared" si="41"/>
        <v>1.8615897380346587</v>
      </c>
      <c r="P169">
        <f t="shared" si="42"/>
        <v>1406.3234688328814</v>
      </c>
      <c r="Q169">
        <f t="shared" si="35"/>
        <v>16.595360654616325</v>
      </c>
      <c r="R169">
        <f t="shared" si="35"/>
        <v>1.3983735979205736E-4</v>
      </c>
      <c r="S169">
        <f t="shared" si="35"/>
        <v>16.628366905358988</v>
      </c>
      <c r="T169">
        <f t="shared" si="35"/>
        <v>66.576854259079269</v>
      </c>
      <c r="U169">
        <f t="shared" si="43"/>
        <v>1.3983735979205736E-4</v>
      </c>
      <c r="W169">
        <f t="shared" si="44"/>
        <v>1406.3248692810457</v>
      </c>
      <c r="X169">
        <f t="shared" si="36"/>
        <v>16.584058477509966</v>
      </c>
      <c r="Y169">
        <f t="shared" si="36"/>
        <v>1.0867721816770691E-4</v>
      </c>
      <c r="Z169">
        <f t="shared" si="36"/>
        <v>16.523959314797903</v>
      </c>
      <c r="AA169">
        <f t="shared" si="36"/>
        <v>16.838350178419681</v>
      </c>
      <c r="AB169">
        <f t="shared" si="36"/>
        <v>66.576755849256998</v>
      </c>
      <c r="AC169">
        <f t="shared" si="45"/>
        <v>1.0867721816770691E-4</v>
      </c>
    </row>
    <row r="170" spans="1:29" x14ac:dyDescent="0.25">
      <c r="A170">
        <v>1402.2629411764706</v>
      </c>
      <c r="B170" s="6">
        <f t="shared" si="32"/>
        <v>1409.9595787944806</v>
      </c>
      <c r="C170" s="6">
        <f t="shared" si="37"/>
        <v>59.238230622967762</v>
      </c>
      <c r="D170" s="6"/>
      <c r="E170">
        <f t="shared" si="38"/>
        <v>1404.9709223526643</v>
      </c>
      <c r="F170">
        <f t="shared" si="33"/>
        <v>7.3331620506194044</v>
      </c>
      <c r="G170">
        <f t="shared" si="33"/>
        <v>103.85577645270288</v>
      </c>
      <c r="H170">
        <f t="shared" si="39"/>
        <v>7.3331620506194044</v>
      </c>
      <c r="J170">
        <f t="shared" si="40"/>
        <v>1404.9708932461895</v>
      </c>
      <c r="K170">
        <f t="shared" si="34"/>
        <v>7.3330044118947955</v>
      </c>
      <c r="L170">
        <f t="shared" si="34"/>
        <v>66.424941471005909</v>
      </c>
      <c r="M170">
        <f t="shared" si="34"/>
        <v>149.61720039318925</v>
      </c>
      <c r="N170">
        <f t="shared" si="41"/>
        <v>7.3330044118947955</v>
      </c>
      <c r="P170">
        <f t="shared" si="42"/>
        <v>1402.2615537412098</v>
      </c>
      <c r="Q170">
        <f t="shared" si="35"/>
        <v>1.9249766028202415E-6</v>
      </c>
      <c r="R170">
        <f t="shared" si="35"/>
        <v>16.487884848477314</v>
      </c>
      <c r="S170">
        <f t="shared" si="35"/>
        <v>66.424821209967291</v>
      </c>
      <c r="T170">
        <f t="shared" si="35"/>
        <v>149.61734791878146</v>
      </c>
      <c r="U170">
        <f t="shared" si="43"/>
        <v>1.9249766028202415E-6</v>
      </c>
      <c r="W170">
        <f t="shared" si="44"/>
        <v>1402.2629411764706</v>
      </c>
      <c r="X170">
        <f t="shared" si="36"/>
        <v>0</v>
      </c>
      <c r="Y170">
        <f t="shared" si="36"/>
        <v>16.49925992673743</v>
      </c>
      <c r="Z170">
        <f t="shared" si="36"/>
        <v>66.21598103721945</v>
      </c>
      <c r="AA170">
        <f t="shared" si="36"/>
        <v>66.843849918909456</v>
      </c>
      <c r="AB170">
        <f t="shared" si="36"/>
        <v>149.61720039302793</v>
      </c>
      <c r="AC170">
        <f t="shared" si="45"/>
        <v>0</v>
      </c>
    </row>
    <row r="171" spans="1:29" x14ac:dyDescent="0.25">
      <c r="A171">
        <v>1414.4738888888887</v>
      </c>
      <c r="B171" s="6">
        <f t="shared" si="32"/>
        <v>1409.9595787944806</v>
      </c>
      <c r="C171" s="6">
        <f t="shared" si="37"/>
        <v>20.378995628474637</v>
      </c>
      <c r="D171" s="6"/>
      <c r="E171">
        <f t="shared" si="38"/>
        <v>1412.4539066092793</v>
      </c>
      <c r="F171">
        <f t="shared" si="33"/>
        <v>90.306372988601694</v>
      </c>
      <c r="G171">
        <f t="shared" si="33"/>
        <v>4.080328409935964</v>
      </c>
      <c r="H171">
        <f t="shared" si="39"/>
        <v>4.080328409935964</v>
      </c>
      <c r="J171">
        <f t="shared" si="40"/>
        <v>1414.4947521786562</v>
      </c>
      <c r="K171">
        <f t="shared" si="34"/>
        <v>90.306926185161146</v>
      </c>
      <c r="L171">
        <f t="shared" si="34"/>
        <v>16.490079830706126</v>
      </c>
      <c r="M171">
        <f t="shared" si="34"/>
        <v>4.3527685992167251E-4</v>
      </c>
      <c r="N171">
        <f t="shared" si="41"/>
        <v>4.3527685992167251E-4</v>
      </c>
      <c r="P171">
        <f t="shared" si="42"/>
        <v>1414.4947582090615</v>
      </c>
      <c r="Q171">
        <f t="shared" si="35"/>
        <v>149.14112975923376</v>
      </c>
      <c r="R171">
        <f t="shared" si="35"/>
        <v>66.429347089366132</v>
      </c>
      <c r="S171">
        <f t="shared" si="35"/>
        <v>16.490139750640658</v>
      </c>
      <c r="T171">
        <f t="shared" si="35"/>
        <v>4.3552852447393197E-4</v>
      </c>
      <c r="U171">
        <f t="shared" si="43"/>
        <v>4.3552852447393197E-4</v>
      </c>
      <c r="W171">
        <f t="shared" si="44"/>
        <v>1414.4947521786496</v>
      </c>
      <c r="X171">
        <f t="shared" si="36"/>
        <v>149.10724403540996</v>
      </c>
      <c r="Y171">
        <f t="shared" si="36"/>
        <v>66.406520569009714</v>
      </c>
      <c r="Z171">
        <f t="shared" si="36"/>
        <v>16.594440609373979</v>
      </c>
      <c r="AA171">
        <f t="shared" si="36"/>
        <v>16.282345852618228</v>
      </c>
      <c r="AB171">
        <f t="shared" si="36"/>
        <v>4.3527685964653425E-4</v>
      </c>
      <c r="AC171">
        <f t="shared" si="45"/>
        <v>4.3527685964653425E-4</v>
      </c>
    </row>
    <row r="172" spans="1:29" x14ac:dyDescent="0.25">
      <c r="A172">
        <v>1410.3911111111111</v>
      </c>
      <c r="B172" s="6">
        <f t="shared" si="32"/>
        <v>1409.9595787944806</v>
      </c>
      <c r="C172" s="6">
        <f t="shared" si="37"/>
        <v>0.18622014029640818</v>
      </c>
      <c r="D172" s="6"/>
      <c r="E172">
        <f t="shared" si="38"/>
        <v>1412.4539066092793</v>
      </c>
      <c r="F172">
        <f t="shared" si="33"/>
        <v>29.378446177192892</v>
      </c>
      <c r="G172">
        <f t="shared" si="33"/>
        <v>4.2551252672632831</v>
      </c>
      <c r="H172">
        <f t="shared" si="39"/>
        <v>4.2551252672632831</v>
      </c>
      <c r="J172">
        <f t="shared" si="40"/>
        <v>1410.4130909585915</v>
      </c>
      <c r="K172">
        <f t="shared" si="34"/>
        <v>29.378761703215233</v>
      </c>
      <c r="L172">
        <f t="shared" si="34"/>
        <v>4.8311369526393249E-4</v>
      </c>
      <c r="M172">
        <f t="shared" si="34"/>
        <v>16.839870011243022</v>
      </c>
      <c r="N172">
        <f t="shared" si="41"/>
        <v>4.8311369526393249E-4</v>
      </c>
      <c r="P172">
        <f t="shared" si="42"/>
        <v>1410.4130835807459</v>
      </c>
      <c r="Q172">
        <f t="shared" si="35"/>
        <v>66.089703030515722</v>
      </c>
      <c r="R172">
        <f t="shared" si="35"/>
        <v>16.545713703641226</v>
      </c>
      <c r="S172">
        <f t="shared" si="35"/>
        <v>4.8278942185549819E-4</v>
      </c>
      <c r="T172">
        <f t="shared" si="35"/>
        <v>16.839919504517091</v>
      </c>
      <c r="U172">
        <f t="shared" si="43"/>
        <v>4.8278942185549819E-4</v>
      </c>
      <c r="W172">
        <f t="shared" si="44"/>
        <v>1410.4002614379092</v>
      </c>
      <c r="X172">
        <f t="shared" si="36"/>
        <v>66.067146486393455</v>
      </c>
      <c r="Y172">
        <f t="shared" si="36"/>
        <v>16.534322620573104</v>
      </c>
      <c r="Z172">
        <f t="shared" si="36"/>
        <v>8.3728480512671382E-5</v>
      </c>
      <c r="AA172">
        <f t="shared" si="36"/>
        <v>2.2694637346188347E-3</v>
      </c>
      <c r="AB172">
        <f t="shared" si="36"/>
        <v>16.839870011188903</v>
      </c>
      <c r="AC172">
        <f t="shared" si="45"/>
        <v>8.3728480512671382E-5</v>
      </c>
    </row>
    <row r="173" spans="1:29" x14ac:dyDescent="0.25">
      <c r="A173">
        <v>1406.3144444444445</v>
      </c>
      <c r="B173" s="6">
        <f t="shared" si="32"/>
        <v>1409.9595787944806</v>
      </c>
      <c r="C173" s="6">
        <f t="shared" si="37"/>
        <v>13.287004429813738</v>
      </c>
      <c r="D173" s="6"/>
      <c r="E173">
        <f t="shared" si="38"/>
        <v>1404.9709223526643</v>
      </c>
      <c r="F173">
        <f t="shared" si="33"/>
        <v>1.8050516111014094</v>
      </c>
      <c r="G173">
        <f t="shared" si="33"/>
        <v>37.692995673438837</v>
      </c>
      <c r="H173">
        <f t="shared" si="39"/>
        <v>1.8050516111014094</v>
      </c>
      <c r="J173">
        <f t="shared" si="40"/>
        <v>1404.9708932461895</v>
      </c>
      <c r="K173">
        <f t="shared" si="34"/>
        <v>1.8051298223324455</v>
      </c>
      <c r="L173">
        <f t="shared" si="34"/>
        <v>16.798903247929754</v>
      </c>
      <c r="M173">
        <f t="shared" si="34"/>
        <v>66.917434626404372</v>
      </c>
      <c r="N173">
        <f t="shared" si="41"/>
        <v>1.8051298223324455</v>
      </c>
      <c r="P173">
        <f t="shared" si="42"/>
        <v>1406.3234688328814</v>
      </c>
      <c r="Q173">
        <f t="shared" si="35"/>
        <v>16.425923052365874</v>
      </c>
      <c r="R173">
        <f t="shared" si="35"/>
        <v>8.1439586661058522E-5</v>
      </c>
      <c r="S173">
        <f t="shared" si="35"/>
        <v>16.798842769622073</v>
      </c>
      <c r="T173">
        <f t="shared" si="35"/>
        <v>66.917533287583012</v>
      </c>
      <c r="U173">
        <f t="shared" si="43"/>
        <v>8.1439586661058522E-5</v>
      </c>
      <c r="W173">
        <f>INDEX(X$175:AB$175,MATCH(AC173,X173:AB173,0))</f>
        <v>1406.3248692810457</v>
      </c>
      <c r="X173">
        <f t="shared" si="36"/>
        <v>16.414678730403072</v>
      </c>
      <c r="Y173">
        <f t="shared" si="36"/>
        <v>1.0867721816296624E-4</v>
      </c>
      <c r="Z173">
        <f t="shared" si="36"/>
        <v>16.693900504085182</v>
      </c>
      <c r="AA173">
        <f t="shared" si="36"/>
        <v>17.009896315590254</v>
      </c>
      <c r="AB173">
        <f t="shared" si="36"/>
        <v>66.917434626296497</v>
      </c>
      <c r="AC173">
        <f t="shared" si="45"/>
        <v>1.0867721816296624E-4</v>
      </c>
    </row>
    <row r="174" spans="1:29" ht="18" x14ac:dyDescent="0.35">
      <c r="B174" s="7" t="s">
        <v>11</v>
      </c>
      <c r="C174" s="6">
        <f>SUM(C165:C173)</f>
        <v>147.98314006633194</v>
      </c>
      <c r="H174">
        <f>SUM(H165:H173)</f>
        <v>35.991714321338875</v>
      </c>
      <c r="N174">
        <f>SUM(N165:N173)</f>
        <v>11.001776844643611</v>
      </c>
      <c r="U174">
        <f>SUM(U165:U173)</f>
        <v>2.2760745771644221E-3</v>
      </c>
      <c r="AC174">
        <f>SUM(AC165:AC173)</f>
        <v>1.2826472101222959E-3</v>
      </c>
    </row>
    <row r="175" spans="1:29" x14ac:dyDescent="0.25">
      <c r="B175" s="6">
        <f>AVERAGE(A165:A173)</f>
        <v>1409.9595787944806</v>
      </c>
      <c r="F175">
        <v>1404.9709223526643</v>
      </c>
      <c r="G175">
        <v>1412.4539066092793</v>
      </c>
      <c r="K175">
        <v>1404.9708932461895</v>
      </c>
      <c r="L175">
        <v>1410.4130909585915</v>
      </c>
      <c r="M175">
        <v>1414.4947521786562</v>
      </c>
      <c r="Q175">
        <v>1402.2615537412098</v>
      </c>
      <c r="R175">
        <v>1406.3234688328814</v>
      </c>
      <c r="S175">
        <v>1410.4130835807459</v>
      </c>
      <c r="T175">
        <v>1414.4947582090615</v>
      </c>
      <c r="X175">
        <v>1402.2629411764706</v>
      </c>
      <c r="Y175">
        <v>1406.3248692810457</v>
      </c>
      <c r="Z175">
        <v>1410.4002614379092</v>
      </c>
      <c r="AA175">
        <v>1410.4387500000005</v>
      </c>
      <c r="AB175">
        <v>1414.4947521786496</v>
      </c>
    </row>
    <row r="176" spans="1:29" x14ac:dyDescent="0.25">
      <c r="F176">
        <f>G175-F175</f>
        <v>7.4829842566150546</v>
      </c>
      <c r="K176">
        <v>1402.2615735352742</v>
      </c>
      <c r="L176">
        <v>1406.3235275089496</v>
      </c>
      <c r="M176">
        <v>1412.453946031575</v>
      </c>
      <c r="N176">
        <v>24.992213174366832</v>
      </c>
      <c r="Q176">
        <f>R175-Q175</f>
        <v>4.061915091671608</v>
      </c>
      <c r="R176">
        <f>S175-R175</f>
        <v>4.0896147478645162</v>
      </c>
      <c r="S176">
        <f>T175-S175</f>
        <v>4.081674628315568</v>
      </c>
      <c r="X176">
        <v>1402.2629411764758</v>
      </c>
      <c r="Y176">
        <v>1406.3248692810462</v>
      </c>
      <c r="Z176">
        <v>1410.4130909586054</v>
      </c>
      <c r="AA176">
        <v>1414.4840032679738</v>
      </c>
      <c r="AB176">
        <v>1414.5162499999992</v>
      </c>
      <c r="AC176">
        <v>1.5769923338000012E-3</v>
      </c>
    </row>
    <row r="177" spans="1:29" x14ac:dyDescent="0.25">
      <c r="K177">
        <v>1402.2629411764631</v>
      </c>
      <c r="L177">
        <v>1408.7778022875832</v>
      </c>
      <c r="M177">
        <v>1414.494752178643</v>
      </c>
      <c r="N177">
        <v>20.058538008661614</v>
      </c>
      <c r="X177">
        <v>1402.2629411764706</v>
      </c>
      <c r="Y177">
        <v>1406.3248692810457</v>
      </c>
      <c r="Z177">
        <v>1410.4002614379092</v>
      </c>
      <c r="AA177">
        <v>1410.4387500000005</v>
      </c>
      <c r="AB177">
        <v>1414.4947521786496</v>
      </c>
      <c r="AC177">
        <v>1.2826472101222959E-3</v>
      </c>
    </row>
    <row r="178" spans="1:29" x14ac:dyDescent="0.25">
      <c r="K178">
        <v>1404.9708932461895</v>
      </c>
      <c r="L178">
        <v>1410.4130909585915</v>
      </c>
      <c r="M178">
        <v>1414.4947521786562</v>
      </c>
      <c r="N178">
        <v>11.001776844643611</v>
      </c>
      <c r="X178">
        <v>1402.2629411764706</v>
      </c>
      <c r="Y178">
        <v>1406.3144444444433</v>
      </c>
      <c r="Z178">
        <v>1406.3352941176456</v>
      </c>
      <c r="AA178">
        <v>1410.4130909586065</v>
      </c>
      <c r="AB178">
        <v>1414.4947521786503</v>
      </c>
      <c r="AC178">
        <v>2.0528723817124263E-3</v>
      </c>
    </row>
    <row r="181" spans="1:29" x14ac:dyDescent="0.25">
      <c r="A181">
        <v>1414.5162499999999</v>
      </c>
      <c r="B181">
        <v>0</v>
      </c>
    </row>
    <row r="182" spans="1:29" x14ac:dyDescent="0.25">
      <c r="A182">
        <v>1410.43875</v>
      </c>
      <c r="B182">
        <v>0</v>
      </c>
    </row>
    <row r="183" spans="1:29" x14ac:dyDescent="0.25">
      <c r="A183">
        <v>1414.4941176470588</v>
      </c>
      <c r="B183">
        <v>0</v>
      </c>
    </row>
    <row r="184" spans="1:29" x14ac:dyDescent="0.25">
      <c r="A184">
        <v>1410.4094117647057</v>
      </c>
      <c r="B184">
        <v>0</v>
      </c>
    </row>
    <row r="185" spans="1:29" x14ac:dyDescent="0.25">
      <c r="A185">
        <v>1406.3352941176472</v>
      </c>
      <c r="B185">
        <v>0</v>
      </c>
    </row>
    <row r="186" spans="1:29" x14ac:dyDescent="0.25">
      <c r="A186">
        <v>1402.2629411764706</v>
      </c>
      <c r="B186">
        <v>0</v>
      </c>
    </row>
    <row r="187" spans="1:29" x14ac:dyDescent="0.25">
      <c r="A187">
        <v>1414.4738888888887</v>
      </c>
      <c r="B187">
        <v>0</v>
      </c>
    </row>
    <row r="188" spans="1:29" x14ac:dyDescent="0.25">
      <c r="A188">
        <v>1410.3911111111111</v>
      </c>
      <c r="B188">
        <v>0</v>
      </c>
    </row>
    <row r="189" spans="1:29" x14ac:dyDescent="0.25">
      <c r="A189">
        <v>1406.3144444444445</v>
      </c>
      <c r="B189">
        <v>0</v>
      </c>
    </row>
    <row r="190" spans="1:29" x14ac:dyDescent="0.25">
      <c r="A190">
        <v>1409.9595787944806</v>
      </c>
      <c r="B190">
        <v>1</v>
      </c>
    </row>
    <row r="191" spans="1:29" x14ac:dyDescent="0.25">
      <c r="A191">
        <v>1404.9709223526643</v>
      </c>
      <c r="B191">
        <v>2</v>
      </c>
    </row>
    <row r="192" spans="1:29" x14ac:dyDescent="0.25">
      <c r="A192">
        <v>1412.4539066092793</v>
      </c>
      <c r="B192">
        <v>2</v>
      </c>
    </row>
    <row r="193" spans="1:7" x14ac:dyDescent="0.25">
      <c r="A193">
        <v>1404.9708932461895</v>
      </c>
      <c r="B193">
        <v>3</v>
      </c>
    </row>
    <row r="194" spans="1:7" x14ac:dyDescent="0.25">
      <c r="A194">
        <v>1410.4130909585915</v>
      </c>
      <c r="B194">
        <v>3</v>
      </c>
    </row>
    <row r="195" spans="1:7" x14ac:dyDescent="0.25">
      <c r="A195">
        <v>1414.4947521786562</v>
      </c>
      <c r="B195">
        <v>3</v>
      </c>
    </row>
    <row r="196" spans="1:7" x14ac:dyDescent="0.25">
      <c r="A196">
        <v>1402.2615537412098</v>
      </c>
      <c r="B196">
        <v>4</v>
      </c>
    </row>
    <row r="197" spans="1:7" x14ac:dyDescent="0.25">
      <c r="A197">
        <v>1406.3234688328814</v>
      </c>
      <c r="B197">
        <v>4</v>
      </c>
    </row>
    <row r="198" spans="1:7" x14ac:dyDescent="0.25">
      <c r="A198">
        <v>1410.4130835807459</v>
      </c>
      <c r="B198">
        <v>4</v>
      </c>
    </row>
    <row r="199" spans="1:7" x14ac:dyDescent="0.25">
      <c r="A199">
        <v>1414.4947582090615</v>
      </c>
      <c r="B199">
        <v>4</v>
      </c>
      <c r="E199" t="s">
        <v>63</v>
      </c>
      <c r="F199" t="s">
        <v>67</v>
      </c>
    </row>
    <row r="200" spans="1:7" x14ac:dyDescent="0.25">
      <c r="A200">
        <v>1402.2629411764706</v>
      </c>
      <c r="B200">
        <v>5</v>
      </c>
      <c r="D200">
        <v>1</v>
      </c>
      <c r="E200">
        <v>147.98314006633194</v>
      </c>
      <c r="F200">
        <f>SQRT(E200)</f>
        <v>12.164832101855412</v>
      </c>
    </row>
    <row r="201" spans="1:7" x14ac:dyDescent="0.25">
      <c r="A201">
        <v>1406.3248692810457</v>
      </c>
      <c r="B201">
        <v>5</v>
      </c>
      <c r="D201">
        <v>2</v>
      </c>
      <c r="E201">
        <v>35.991714321338875</v>
      </c>
      <c r="F201">
        <f t="shared" ref="F201:F204" si="46">SQRT(E201)</f>
        <v>5.9993094870442274</v>
      </c>
    </row>
    <row r="202" spans="1:7" x14ac:dyDescent="0.25">
      <c r="A202">
        <v>1410.4002614379092</v>
      </c>
      <c r="B202">
        <v>5</v>
      </c>
      <c r="D202">
        <v>3</v>
      </c>
      <c r="E202">
        <v>11.001776844643611</v>
      </c>
      <c r="F202">
        <f t="shared" si="46"/>
        <v>3.3168926489477486</v>
      </c>
    </row>
    <row r="203" spans="1:7" x14ac:dyDescent="0.25">
      <c r="A203">
        <v>1410.4387500000005</v>
      </c>
      <c r="B203">
        <v>5</v>
      </c>
      <c r="D203">
        <v>4</v>
      </c>
      <c r="E203">
        <v>2.2760745771644221E-3</v>
      </c>
      <c r="F203">
        <f t="shared" si="46"/>
        <v>4.7708223370446549E-2</v>
      </c>
    </row>
    <row r="204" spans="1:7" x14ac:dyDescent="0.25">
      <c r="A204">
        <v>1414.4947521786496</v>
      </c>
      <c r="B204">
        <v>5</v>
      </c>
      <c r="D204">
        <v>5</v>
      </c>
      <c r="E204">
        <v>1.2826472101222959E-3</v>
      </c>
      <c r="F204">
        <f t="shared" si="46"/>
        <v>3.5814064417799552E-2</v>
      </c>
    </row>
    <row r="206" spans="1:7" s="10" customFormat="1" x14ac:dyDescent="0.25">
      <c r="A206" s="10" t="s">
        <v>74</v>
      </c>
    </row>
    <row r="208" spans="1:7" ht="18.75" x14ac:dyDescent="0.35">
      <c r="A208" t="s">
        <v>39</v>
      </c>
      <c r="B208" t="s">
        <v>40</v>
      </c>
      <c r="C208" t="s">
        <v>41</v>
      </c>
      <c r="G208" t="s">
        <v>46</v>
      </c>
    </row>
    <row r="209" spans="1:19" x14ac:dyDescent="0.25">
      <c r="A209">
        <f>1402.26155374121/2</f>
        <v>701.13077687060502</v>
      </c>
      <c r="B209">
        <v>3</v>
      </c>
      <c r="C209">
        <f>C$214-C$215*(B209+0.5)</f>
        <v>701.12731348032992</v>
      </c>
      <c r="D209">
        <f>A209-C209</f>
        <v>3.4633902751011192E-3</v>
      </c>
      <c r="E209">
        <f>(A209-C209)^2</f>
        <v>1.1995072197665006E-5</v>
      </c>
      <c r="G209">
        <f>G$214-G$215*(B209+0.5)+G$216*(B209+0.5)^2</f>
        <v>701.128956213116</v>
      </c>
      <c r="H209">
        <f>A209-G209</f>
        <v>1.82065748902005E-3</v>
      </c>
      <c r="I209">
        <f>H209^2</f>
        <v>3.3147936923247935E-6</v>
      </c>
    </row>
    <row r="210" spans="1:19" x14ac:dyDescent="0.25">
      <c r="A210">
        <f>1406.32346883288/2</f>
        <v>703.16173441644003</v>
      </c>
      <c r="B210">
        <v>2</v>
      </c>
      <c r="C210">
        <f>C$214-C$215*(B210+0.5)</f>
        <v>703.16677467548561</v>
      </c>
      <c r="D210">
        <f t="shared" ref="D210:D212" si="47">A210-C210</f>
        <v>-5.0402590455860263E-3</v>
      </c>
      <c r="E210">
        <f>(A210-C210)^2</f>
        <v>2.5404211246611762E-5</v>
      </c>
      <c r="G210">
        <f t="shared" ref="G210:G212" si="48">G$214-G$215*(B210+0.5)+G$216*(B210+0.5)^2</f>
        <v>703.16533706617395</v>
      </c>
      <c r="H210">
        <f t="shared" ref="H210:H212" si="49">A210-G210</f>
        <v>-3.6026497339207708E-3</v>
      </c>
      <c r="I210">
        <f t="shared" ref="I210:I212" si="50">H210^2</f>
        <v>1.29790851053194E-5</v>
      </c>
    </row>
    <row r="211" spans="1:19" x14ac:dyDescent="0.25">
      <c r="A211">
        <f>1410.41308358075/2</f>
        <v>705.20654179037501</v>
      </c>
      <c r="B211">
        <v>1</v>
      </c>
      <c r="C211">
        <f>C$214-C$215*(B211+0.5)</f>
        <v>705.20623587064142</v>
      </c>
      <c r="D211">
        <f t="shared" si="47"/>
        <v>3.059197335915087E-4</v>
      </c>
      <c r="E211">
        <f>(A211-C211)^2</f>
        <v>9.3586883400699658E-8</v>
      </c>
      <c r="G211">
        <f t="shared" si="48"/>
        <v>705.20479847229205</v>
      </c>
      <c r="H211">
        <f t="shared" si="49"/>
        <v>1.7433180829584671E-3</v>
      </c>
      <c r="I211">
        <f t="shared" si="50"/>
        <v>3.039157938369985E-6</v>
      </c>
    </row>
    <row r="212" spans="1:19" x14ac:dyDescent="0.25">
      <c r="A212">
        <f>1414.49475820906/2</f>
        <v>707.24737910452995</v>
      </c>
      <c r="B212">
        <v>0</v>
      </c>
      <c r="C212">
        <f>C$214-C$215*(B212+0.5)</f>
        <v>707.24569706579712</v>
      </c>
      <c r="D212">
        <f t="shared" si="47"/>
        <v>1.6820387328380093E-3</v>
      </c>
      <c r="E212">
        <f>(A212-C212)^2</f>
        <v>2.829254298767296E-6</v>
      </c>
      <c r="G212">
        <f t="shared" si="48"/>
        <v>707.24734043147032</v>
      </c>
      <c r="H212">
        <f t="shared" si="49"/>
        <v>3.8673059634675155E-5</v>
      </c>
      <c r="I212">
        <f t="shared" si="50"/>
        <v>1.4956055415071408E-9</v>
      </c>
    </row>
    <row r="213" spans="1:19" x14ac:dyDescent="0.25">
      <c r="E213">
        <f>SUM(E209:E212)</f>
        <v>4.0322124626444762E-5</v>
      </c>
      <c r="I213">
        <f>SUM(I209:I212)</f>
        <v>1.9334532341555685E-5</v>
      </c>
    </row>
    <row r="214" spans="1:19" ht="18" x14ac:dyDescent="0.35">
      <c r="A214" t="s">
        <v>37</v>
      </c>
      <c r="C214">
        <v>708.26542766337502</v>
      </c>
      <c r="G214">
        <v>708.26976661845697</v>
      </c>
    </row>
    <row r="215" spans="1:19" ht="18" x14ac:dyDescent="0.35">
      <c r="A215" t="s">
        <v>38</v>
      </c>
      <c r="C215">
        <v>2.0394611951557451</v>
      </c>
      <c r="G215">
        <v>2.0456225122384231</v>
      </c>
    </row>
    <row r="216" spans="1:19" ht="18" x14ac:dyDescent="0.35">
      <c r="A216" s="7" t="s">
        <v>45</v>
      </c>
      <c r="G216">
        <v>1.5402765300830702E-3</v>
      </c>
    </row>
    <row r="217" spans="1:19" x14ac:dyDescent="0.25">
      <c r="A217" s="7"/>
    </row>
    <row r="218" spans="1:19" s="10" customFormat="1" x14ac:dyDescent="0.25">
      <c r="A218" s="16" t="s">
        <v>75</v>
      </c>
    </row>
    <row r="220" spans="1:19" x14ac:dyDescent="0.25">
      <c r="C220" t="s">
        <v>22</v>
      </c>
      <c r="D220" t="s">
        <v>40</v>
      </c>
      <c r="E220" t="s">
        <v>44</v>
      </c>
      <c r="F220" t="s">
        <v>42</v>
      </c>
      <c r="G220" t="s">
        <v>43</v>
      </c>
      <c r="I220" t="s">
        <v>12</v>
      </c>
      <c r="J220" t="s">
        <v>42</v>
      </c>
      <c r="K220" t="s">
        <v>43</v>
      </c>
      <c r="M220" t="s">
        <v>13</v>
      </c>
      <c r="N220" t="s">
        <v>42</v>
      </c>
      <c r="O220" t="s">
        <v>43</v>
      </c>
      <c r="Q220" t="s">
        <v>17</v>
      </c>
      <c r="R220" t="s">
        <v>42</v>
      </c>
      <c r="S220" t="s">
        <v>43</v>
      </c>
    </row>
    <row r="221" spans="1:19" x14ac:dyDescent="0.25">
      <c r="A221" s="6">
        <v>22632.26</v>
      </c>
      <c r="B221">
        <v>0.1</v>
      </c>
      <c r="C221">
        <v>15</v>
      </c>
      <c r="D221">
        <v>0</v>
      </c>
      <c r="E221">
        <f>2*(E$232-E$233*($D221+0.5))*($C221+1)</f>
        <v>22631.858701567937</v>
      </c>
      <c r="F221" s="6">
        <f>$A221-E221</f>
        <v>0.40129843206159421</v>
      </c>
      <c r="G221" s="15">
        <f>F221^2</f>
        <v>0.16104043157509396</v>
      </c>
      <c r="I221">
        <f>2*(I$232-I$233*($D221+0.5)+I$234*($D221+0.5)^2)*($C221+1)</f>
        <v>22631.895643366413</v>
      </c>
      <c r="J221" s="6">
        <f>$A221-I221</f>
        <v>0.3643566335849755</v>
      </c>
      <c r="K221" s="15">
        <f>J221^2</f>
        <v>0.13275575643737608</v>
      </c>
      <c r="M221">
        <f>2*(M$232-M$233*(D221+0.5))*(C221+1)-4*M$235*(C221+1)^3</f>
        <v>22631.919110924624</v>
      </c>
      <c r="N221" s="6">
        <f>$A221-M221</f>
        <v>0.34088907537443447</v>
      </c>
      <c r="O221" s="15">
        <f>N221^2</f>
        <v>0.11620536170963687</v>
      </c>
      <c r="Q221">
        <f>2*(Q$232-Q$233*(D221+0.5)+Q$234*(D221+0.5)^2)*(C221+1)-4*Q$235*(C221+1)^3</f>
        <v>22632.26543226793</v>
      </c>
      <c r="R221" s="6">
        <f>$A221-Q221</f>
        <v>-5.432267931610113E-3</v>
      </c>
      <c r="S221" s="15">
        <f>R221^2</f>
        <v>2.9509534880799616E-5</v>
      </c>
    </row>
    <row r="222" spans="1:19" x14ac:dyDescent="0.25">
      <c r="A222" s="6">
        <v>22567.02</v>
      </c>
      <c r="B222">
        <v>0.1</v>
      </c>
      <c r="C222">
        <v>15</v>
      </c>
      <c r="D222">
        <v>1</v>
      </c>
      <c r="E222">
        <f t="shared" ref="E222:E229" si="51">2*(E$232-E$233*($D222+0.5))*($C222+1)</f>
        <v>22566.583586061563</v>
      </c>
      <c r="F222" s="6">
        <f t="shared" ref="F222:F229" si="52">$A222-E222</f>
        <v>0.43641393843790866</v>
      </c>
      <c r="G222" s="15">
        <f t="shared" ref="G222:G229" si="53">F222^2</f>
        <v>0.19045712566288672</v>
      </c>
      <c r="I222">
        <f t="shared" ref="I222:I229" si="54">2*(I$232-I$233*($D222+0.5)+I$234*($D222+0.5)^2)*($C222+1)</f>
        <v>22566.538346406869</v>
      </c>
      <c r="J222" s="6">
        <f t="shared" ref="J222:J229" si="55">$A222-I222</f>
        <v>0.48165359313134104</v>
      </c>
      <c r="K222" s="15">
        <f t="shared" ref="K222:K229" si="56">J222^2</f>
        <v>0.2319901837763314</v>
      </c>
      <c r="M222">
        <f t="shared" ref="M222:M229" si="57">2*(M$232-M$233*(D222+0.5))*(C222+1)-4*M$235*(C222+1)^3</f>
        <v>22566.648019059452</v>
      </c>
      <c r="N222" s="6">
        <f t="shared" ref="N222:N229" si="58">$A222-M222</f>
        <v>0.37198094054838293</v>
      </c>
      <c r="O222" s="15">
        <f t="shared" ref="O222:O229" si="59">N222^2</f>
        <v>0.13836982013125959</v>
      </c>
      <c r="Q222">
        <f t="shared" ref="Q222:Q229" si="60">2*(Q$232-Q$233*(D222+0.5)+Q$234*(D222+0.5)^2)*(C222+1)-4*Q$235*(C222+1)^3</f>
        <v>22566.957883460058</v>
      </c>
      <c r="R222" s="6">
        <f t="shared" ref="R222:R229" si="61">$A222-Q222</f>
        <v>6.2116539942508098E-2</v>
      </c>
      <c r="S222" s="15">
        <f t="shared" ref="S222:S229" si="62">R222^2</f>
        <v>3.8584645344292038E-3</v>
      </c>
    </row>
    <row r="223" spans="1:19" x14ac:dyDescent="0.25">
      <c r="A223" s="6">
        <v>24046.400000000001</v>
      </c>
      <c r="B223">
        <v>0.1</v>
      </c>
      <c r="C223">
        <v>16</v>
      </c>
      <c r="D223">
        <v>0</v>
      </c>
      <c r="E223">
        <f t="shared" si="51"/>
        <v>24046.349870415932</v>
      </c>
      <c r="F223" s="6">
        <f t="shared" si="52"/>
        <v>5.0129584069509292E-2</v>
      </c>
      <c r="G223" s="15">
        <f t="shared" si="53"/>
        <v>2.5129751989819999E-3</v>
      </c>
      <c r="I223">
        <f t="shared" si="54"/>
        <v>24046.389121076812</v>
      </c>
      <c r="J223" s="6">
        <f t="shared" si="55"/>
        <v>1.0878923189011402E-2</v>
      </c>
      <c r="K223" s="15">
        <f t="shared" si="56"/>
        <v>1.1835096975241002E-4</v>
      </c>
      <c r="M223">
        <f t="shared" si="57"/>
        <v>24046.356405014616</v>
      </c>
      <c r="N223" s="6">
        <f t="shared" si="58"/>
        <v>4.3594985385425389E-2</v>
      </c>
      <c r="O223" s="15">
        <f t="shared" si="59"/>
        <v>1.9005227507554532E-3</v>
      </c>
      <c r="Q223">
        <f t="shared" si="60"/>
        <v>24046.418662304612</v>
      </c>
      <c r="R223" s="6">
        <f t="shared" si="61"/>
        <v>-1.8662304610188585E-2</v>
      </c>
      <c r="S223" s="15">
        <f t="shared" si="62"/>
        <v>3.4828161336346612E-4</v>
      </c>
    </row>
    <row r="224" spans="1:19" x14ac:dyDescent="0.25">
      <c r="A224" s="6">
        <v>23976.959999999999</v>
      </c>
      <c r="B224">
        <v>0.1</v>
      </c>
      <c r="C224">
        <v>16</v>
      </c>
      <c r="D224">
        <v>1</v>
      </c>
      <c r="E224">
        <f t="shared" si="51"/>
        <v>23976.995060190409</v>
      </c>
      <c r="F224" s="6">
        <f t="shared" si="52"/>
        <v>-3.5060190410149517E-2</v>
      </c>
      <c r="G224" s="15">
        <f t="shared" si="53"/>
        <v>1.2292169515959401E-3</v>
      </c>
      <c r="I224">
        <f t="shared" si="54"/>
        <v>23976.9469930573</v>
      </c>
      <c r="J224" s="6">
        <f t="shared" si="55"/>
        <v>1.300694269957603E-2</v>
      </c>
      <c r="K224" s="15">
        <f t="shared" si="56"/>
        <v>1.6918055839005417E-4</v>
      </c>
      <c r="M224">
        <f t="shared" si="57"/>
        <v>23977.005869907869</v>
      </c>
      <c r="N224" s="6">
        <f t="shared" si="58"/>
        <v>-4.5869907869928284E-2</v>
      </c>
      <c r="O224" s="15">
        <f t="shared" si="59"/>
        <v>2.1040484479957085E-3</v>
      </c>
      <c r="Q224">
        <f t="shared" si="60"/>
        <v>23977.029391696247</v>
      </c>
      <c r="R224" s="6">
        <f t="shared" si="61"/>
        <v>-6.9391696248203516E-2</v>
      </c>
      <c r="S224" s="15">
        <f t="shared" si="62"/>
        <v>4.8152075082029417E-3</v>
      </c>
    </row>
    <row r="225" spans="1:19" x14ac:dyDescent="0.25">
      <c r="A225" s="6">
        <v>23907.7</v>
      </c>
      <c r="B225">
        <v>0.1</v>
      </c>
      <c r="C225">
        <v>16</v>
      </c>
      <c r="D225">
        <v>2</v>
      </c>
      <c r="E225">
        <f t="shared" si="51"/>
        <v>23907.640249964883</v>
      </c>
      <c r="F225" s="6">
        <f t="shared" si="52"/>
        <v>5.9750035117758671E-2</v>
      </c>
      <c r="G225" s="15">
        <f t="shared" si="53"/>
        <v>3.5700666965733942E-3</v>
      </c>
      <c r="I225">
        <f t="shared" si="54"/>
        <v>23907.609603855108</v>
      </c>
      <c r="J225" s="6">
        <f t="shared" si="55"/>
        <v>9.0396144893020391E-2</v>
      </c>
      <c r="K225" s="15">
        <f t="shared" si="56"/>
        <v>8.1714630115199364E-3</v>
      </c>
      <c r="M225">
        <f t="shared" si="57"/>
        <v>23907.655334801122</v>
      </c>
      <c r="N225" s="6">
        <f t="shared" si="58"/>
        <v>4.4665198878647061E-2</v>
      </c>
      <c r="O225" s="15">
        <f t="shared" si="59"/>
        <v>1.9949799908690947E-3</v>
      </c>
      <c r="Q225">
        <f t="shared" si="60"/>
        <v>23907.713777571564</v>
      </c>
      <c r="R225" s="6">
        <f t="shared" si="61"/>
        <v>-1.377757156296866E-2</v>
      </c>
      <c r="S225" s="15">
        <f t="shared" si="62"/>
        <v>1.898214781727227E-4</v>
      </c>
    </row>
    <row r="226" spans="1:19" x14ac:dyDescent="0.25">
      <c r="A226" s="6">
        <v>23838.47</v>
      </c>
      <c r="B226">
        <v>0.1</v>
      </c>
      <c r="C226">
        <v>16</v>
      </c>
      <c r="D226">
        <v>3</v>
      </c>
      <c r="E226">
        <f t="shared" si="51"/>
        <v>23838.28543973936</v>
      </c>
      <c r="F226" s="6">
        <f t="shared" si="52"/>
        <v>0.18456026064086473</v>
      </c>
      <c r="G226" s="15">
        <f t="shared" si="53"/>
        <v>3.406248980782392E-2</v>
      </c>
      <c r="I226">
        <f t="shared" si="54"/>
        <v>23838.376953470251</v>
      </c>
      <c r="J226" s="6">
        <f t="shared" si="55"/>
        <v>9.3046529749699403E-2</v>
      </c>
      <c r="K226" s="15">
        <f t="shared" si="56"/>
        <v>8.6576566984616962E-3</v>
      </c>
      <c r="M226">
        <f t="shared" si="57"/>
        <v>23838.304799694382</v>
      </c>
      <c r="N226" s="6">
        <f t="shared" si="58"/>
        <v>0.16520030561878229</v>
      </c>
      <c r="O226" s="15">
        <f t="shared" si="59"/>
        <v>2.7291140976539074E-2</v>
      </c>
      <c r="Q226">
        <f t="shared" si="60"/>
        <v>23838.471819930557</v>
      </c>
      <c r="R226" s="6">
        <f t="shared" si="61"/>
        <v>-1.8199305559392087E-3</v>
      </c>
      <c r="S226" s="15">
        <f t="shared" si="62"/>
        <v>3.3121472284411973E-6</v>
      </c>
    </row>
    <row r="227" spans="1:19" x14ac:dyDescent="0.25">
      <c r="A227" s="6">
        <v>25460.53</v>
      </c>
      <c r="B227">
        <v>0.1</v>
      </c>
      <c r="C227">
        <v>17</v>
      </c>
      <c r="D227">
        <v>0</v>
      </c>
      <c r="E227">
        <f t="shared" si="51"/>
        <v>25460.841039263927</v>
      </c>
      <c r="F227" s="6">
        <f t="shared" si="52"/>
        <v>-0.31103926392825088</v>
      </c>
      <c r="G227" s="15">
        <f t="shared" si="53"/>
        <v>9.6745423705028102E-2</v>
      </c>
      <c r="I227">
        <f t="shared" si="54"/>
        <v>25460.882598787215</v>
      </c>
      <c r="J227" s="6">
        <f t="shared" si="55"/>
        <v>-0.35259878721626592</v>
      </c>
      <c r="K227" s="15">
        <f t="shared" si="56"/>
        <v>0.12432590474638157</v>
      </c>
      <c r="M227">
        <f t="shared" si="57"/>
        <v>25460.783217224096</v>
      </c>
      <c r="N227" s="6">
        <f t="shared" si="58"/>
        <v>-0.2532172240971704</v>
      </c>
      <c r="O227" s="15">
        <f t="shared" si="59"/>
        <v>6.4118962579476621E-2</v>
      </c>
      <c r="Q227">
        <f t="shared" si="60"/>
        <v>25460.505826981287</v>
      </c>
      <c r="R227" s="6">
        <f t="shared" si="61"/>
        <v>2.4173018711735494E-2</v>
      </c>
      <c r="S227" s="15">
        <f t="shared" si="62"/>
        <v>5.8433483363791439E-4</v>
      </c>
    </row>
    <row r="228" spans="1:19" x14ac:dyDescent="0.25">
      <c r="A228" s="6">
        <v>25387.040000000001</v>
      </c>
      <c r="B228">
        <v>0.1</v>
      </c>
      <c r="C228">
        <v>17</v>
      </c>
      <c r="D228">
        <v>1</v>
      </c>
      <c r="E228">
        <f t="shared" si="51"/>
        <v>25387.406534319256</v>
      </c>
      <c r="F228" s="6">
        <f t="shared" si="52"/>
        <v>-0.36653431925515179</v>
      </c>
      <c r="G228" s="15">
        <f t="shared" si="53"/>
        <v>0.13434740719183752</v>
      </c>
      <c r="I228">
        <f t="shared" si="54"/>
        <v>25387.355639707726</v>
      </c>
      <c r="J228" s="6">
        <f t="shared" si="55"/>
        <v>-0.3156397077254951</v>
      </c>
      <c r="K228" s="15">
        <f t="shared" si="56"/>
        <v>9.9628425093035974E-2</v>
      </c>
      <c r="M228">
        <f t="shared" si="57"/>
        <v>25387.353238875778</v>
      </c>
      <c r="N228" s="6">
        <f t="shared" si="58"/>
        <v>-0.31323887577673304</v>
      </c>
      <c r="O228" s="15">
        <f t="shared" si="59"/>
        <v>9.8118593297871592E-2</v>
      </c>
      <c r="Q228">
        <f t="shared" si="60"/>
        <v>25387.034834572431</v>
      </c>
      <c r="R228" s="6">
        <f t="shared" si="61"/>
        <v>5.1654275703185704E-3</v>
      </c>
      <c r="S228" s="15">
        <f t="shared" si="62"/>
        <v>2.668164198420721E-5</v>
      </c>
    </row>
    <row r="229" spans="1:19" x14ac:dyDescent="0.25">
      <c r="A229" s="6">
        <v>25313.66</v>
      </c>
      <c r="B229">
        <v>0.1</v>
      </c>
      <c r="C229">
        <v>17</v>
      </c>
      <c r="D229">
        <v>2</v>
      </c>
      <c r="E229">
        <f t="shared" si="51"/>
        <v>25313.972029374581</v>
      </c>
      <c r="F229" s="6">
        <f t="shared" si="52"/>
        <v>-0.31202937458147062</v>
      </c>
      <c r="G229" s="15">
        <f t="shared" si="53"/>
        <v>9.7362330601703698E-2</v>
      </c>
      <c r="I229">
        <f t="shared" si="54"/>
        <v>25313.939580552469</v>
      </c>
      <c r="J229" s="6">
        <f t="shared" si="55"/>
        <v>-0.27958055246926961</v>
      </c>
      <c r="K229" s="15">
        <f t="shared" si="56"/>
        <v>7.8165285319022018E-2</v>
      </c>
      <c r="M229">
        <f t="shared" si="57"/>
        <v>25313.923260527459</v>
      </c>
      <c r="N229" s="6">
        <f t="shared" si="58"/>
        <v>-0.26326052745935158</v>
      </c>
      <c r="O229" s="15">
        <f t="shared" si="59"/>
        <v>6.9306105318176006E-2</v>
      </c>
      <c r="Q229">
        <f t="shared" si="60"/>
        <v>25313.641831381585</v>
      </c>
      <c r="R229" s="6">
        <f t="shared" si="61"/>
        <v>1.8168618415074889E-2</v>
      </c>
      <c r="S229" s="15">
        <f t="shared" si="62"/>
        <v>3.3009869511259836E-4</v>
      </c>
    </row>
    <row r="230" spans="1:19" x14ac:dyDescent="0.25">
      <c r="G230" s="15">
        <f>SUM(G221:G229)</f>
        <v>0.72132746739152531</v>
      </c>
      <c r="K230" s="15">
        <f>SUM(K221:K229)</f>
        <v>0.68398220661027109</v>
      </c>
      <c r="O230" s="15">
        <f>SUM(O221:O229)</f>
        <v>0.51940953520258004</v>
      </c>
      <c r="S230" s="15">
        <f>SUM(S221:S229)</f>
        <v>1.0185711987012297E-2</v>
      </c>
    </row>
    <row r="231" spans="1:19" x14ac:dyDescent="0.25">
      <c r="A231" t="s">
        <v>9</v>
      </c>
      <c r="G231" s="15">
        <f>SQRT(G230/7)</f>
        <v>0.32100900463372084</v>
      </c>
      <c r="K231" s="15">
        <f>SQRT(K230/6)</f>
        <v>0.33763446867143937</v>
      </c>
      <c r="O231" s="15">
        <f>SQRT(O230/6)</f>
        <v>0.29422483897029611</v>
      </c>
      <c r="S231" s="15">
        <f>SQRT(S230/5)</f>
        <v>4.5134713884132018E-2</v>
      </c>
    </row>
    <row r="232" spans="1:19" ht="18" x14ac:dyDescent="0.35">
      <c r="A232" t="s">
        <v>37</v>
      </c>
      <c r="E232">
        <v>708.26550810378512</v>
      </c>
      <c r="I232">
        <v>708.26910182773747</v>
      </c>
      <c r="M232">
        <v>708.28048675919081</v>
      </c>
      <c r="Q232">
        <v>708.36244314600162</v>
      </c>
    </row>
    <row r="233" spans="1:19" ht="18" x14ac:dyDescent="0.35">
      <c r="A233" t="s">
        <v>38</v>
      </c>
      <c r="E233">
        <v>2.0398473595742255</v>
      </c>
      <c r="I233">
        <v>2.0454960834367117</v>
      </c>
      <c r="M233">
        <v>2.0397216207866036</v>
      </c>
      <c r="Q233">
        <v>2.0430272674130561</v>
      </c>
    </row>
    <row r="234" spans="1:19" ht="18" x14ac:dyDescent="0.35">
      <c r="A234" s="7" t="s">
        <v>45</v>
      </c>
      <c r="I234">
        <v>1.5402767254394901E-3</v>
      </c>
      <c r="M234" t="s">
        <v>35</v>
      </c>
      <c r="Q234">
        <v>1.0831835835200089E-3</v>
      </c>
    </row>
    <row r="235" spans="1:19" ht="18" x14ac:dyDescent="0.35">
      <c r="A235" s="7" t="s">
        <v>47</v>
      </c>
      <c r="I235" t="s">
        <v>35</v>
      </c>
      <c r="M235">
        <v>2.5690883599680501E-5</v>
      </c>
      <c r="Q235">
        <v>1.6192490198862331E-4</v>
      </c>
    </row>
    <row r="237" spans="1:19" s="10" customFormat="1" x14ac:dyDescent="0.25">
      <c r="A237" s="10" t="s">
        <v>76</v>
      </c>
    </row>
  </sheetData>
  <sortState ref="C78:I78">
    <sortCondition ref="C78"/>
  </sortState>
  <pageMargins left="0.7" right="0.7" top="0.75" bottom="0.75" header="0.3" footer="0.3"/>
  <pageSetup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Microwave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2023-01-31T03:46:45Z</dcterms:modified>
</cp:coreProperties>
</file>