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07DB08E2-034D-4F0B-A722-12450C63E88F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</sheets>
  <definedNames>
    <definedName name="solver_adj" localSheetId="0" hidden="1">Microwave!$E$170:$E$171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Microwave!$G$169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88" i="3" l="1"/>
  <c r="D85" i="3"/>
  <c r="D84" i="3"/>
  <c r="F144" i="3" l="1"/>
  <c r="E144" i="3"/>
  <c r="D144" i="3"/>
  <c r="D124" i="3"/>
  <c r="C124" i="3"/>
  <c r="C123" i="3"/>
  <c r="D123" i="3" s="1"/>
  <c r="C122" i="3"/>
  <c r="D122" i="3" s="1"/>
  <c r="C121" i="3"/>
  <c r="D121" i="3" s="1"/>
  <c r="C120" i="3"/>
  <c r="D120" i="3" s="1"/>
  <c r="C119" i="3"/>
  <c r="D119" i="3" s="1"/>
  <c r="C118" i="3"/>
  <c r="D118" i="3" s="1"/>
  <c r="C117" i="3"/>
  <c r="D117" i="3" s="1"/>
  <c r="C116" i="3"/>
  <c r="D116" i="3" s="1"/>
  <c r="C115" i="3"/>
  <c r="D115" i="3" s="1"/>
  <c r="D114" i="3"/>
  <c r="C114" i="3"/>
  <c r="C113" i="3"/>
  <c r="D113" i="3" s="1"/>
  <c r="B87" i="3"/>
  <c r="H7" i="3"/>
  <c r="H6" i="3"/>
  <c r="H5" i="3"/>
  <c r="C87" i="3" l="1"/>
  <c r="C88" i="3"/>
  <c r="J188" i="3"/>
  <c r="I188" i="3"/>
  <c r="C85" i="3"/>
  <c r="F188" i="3"/>
  <c r="C180" i="3"/>
  <c r="I180" i="3" s="1"/>
  <c r="J180" i="3" s="1"/>
  <c r="K180" i="3" s="1"/>
  <c r="C179" i="3"/>
  <c r="E179" i="3" s="1"/>
  <c r="F179" i="3" s="1"/>
  <c r="G179" i="3" s="1"/>
  <c r="C178" i="3"/>
  <c r="E178" i="3" s="1"/>
  <c r="F178" i="3" s="1"/>
  <c r="G178" i="3" s="1"/>
  <c r="C168" i="3"/>
  <c r="E168" i="3" s="1"/>
  <c r="F168" i="3" s="1"/>
  <c r="G168" i="3" s="1"/>
  <c r="C167" i="3"/>
  <c r="E167" i="3" s="1"/>
  <c r="F167" i="3" s="1"/>
  <c r="G167" i="3" s="1"/>
  <c r="C166" i="3"/>
  <c r="I166" i="3" s="1"/>
  <c r="J166" i="3" s="1"/>
  <c r="K166" i="3" s="1"/>
  <c r="C155" i="3"/>
  <c r="C154" i="3"/>
  <c r="E154" i="3" s="1"/>
  <c r="F154" i="3" s="1"/>
  <c r="G154" i="3" s="1"/>
  <c r="C153" i="3"/>
  <c r="E153" i="3" s="1"/>
  <c r="F153" i="3" s="1"/>
  <c r="G153" i="3" s="1"/>
  <c r="C152" i="3"/>
  <c r="E152" i="3" s="1"/>
  <c r="F152" i="3" s="1"/>
  <c r="G152" i="3" s="1"/>
  <c r="C151" i="3"/>
  <c r="C150" i="3"/>
  <c r="E130" i="3"/>
  <c r="H130" i="3" s="1"/>
  <c r="K130" i="3" s="1"/>
  <c r="F130" i="3"/>
  <c r="I130" i="3" s="1"/>
  <c r="L130" i="3" s="1"/>
  <c r="E131" i="3"/>
  <c r="H131" i="3" s="1"/>
  <c r="K131" i="3" s="1"/>
  <c r="F131" i="3"/>
  <c r="I131" i="3" s="1"/>
  <c r="L131" i="3" s="1"/>
  <c r="E132" i="3"/>
  <c r="H132" i="3" s="1"/>
  <c r="K132" i="3" s="1"/>
  <c r="F132" i="3"/>
  <c r="I132" i="3" s="1"/>
  <c r="L132" i="3" s="1"/>
  <c r="E133" i="3"/>
  <c r="H133" i="3" s="1"/>
  <c r="K133" i="3" s="1"/>
  <c r="F133" i="3"/>
  <c r="I133" i="3" s="1"/>
  <c r="L133" i="3" s="1"/>
  <c r="E134" i="3"/>
  <c r="H134" i="3" s="1"/>
  <c r="K134" i="3" s="1"/>
  <c r="F134" i="3"/>
  <c r="I134" i="3" s="1"/>
  <c r="L134" i="3" s="1"/>
  <c r="E135" i="3"/>
  <c r="H135" i="3" s="1"/>
  <c r="K135" i="3" s="1"/>
  <c r="F135" i="3"/>
  <c r="I135" i="3" s="1"/>
  <c r="L135" i="3" s="1"/>
  <c r="E136" i="3"/>
  <c r="H136" i="3" s="1"/>
  <c r="K136" i="3" s="1"/>
  <c r="F136" i="3"/>
  <c r="I136" i="3" s="1"/>
  <c r="L136" i="3" s="1"/>
  <c r="E137" i="3"/>
  <c r="H137" i="3" s="1"/>
  <c r="K137" i="3" s="1"/>
  <c r="F137" i="3"/>
  <c r="I137" i="3" s="1"/>
  <c r="L137" i="3" s="1"/>
  <c r="E138" i="3"/>
  <c r="H138" i="3" s="1"/>
  <c r="K138" i="3" s="1"/>
  <c r="F138" i="3"/>
  <c r="I138" i="3" s="1"/>
  <c r="L138" i="3" s="1"/>
  <c r="E139" i="3"/>
  <c r="H139" i="3" s="1"/>
  <c r="K139" i="3" s="1"/>
  <c r="F139" i="3"/>
  <c r="I139" i="3" s="1"/>
  <c r="L139" i="3" s="1"/>
  <c r="E140" i="3"/>
  <c r="H140" i="3" s="1"/>
  <c r="K140" i="3" s="1"/>
  <c r="F140" i="3"/>
  <c r="I140" i="3" s="1"/>
  <c r="L140" i="3" s="1"/>
  <c r="F129" i="3"/>
  <c r="I129" i="3" s="1"/>
  <c r="L129" i="3" s="1"/>
  <c r="E129" i="3"/>
  <c r="D130" i="3"/>
  <c r="G130" i="3" s="1"/>
  <c r="J130" i="3" s="1"/>
  <c r="D131" i="3"/>
  <c r="G131" i="3" s="1"/>
  <c r="J131" i="3" s="1"/>
  <c r="D132" i="3"/>
  <c r="G132" i="3" s="1"/>
  <c r="J132" i="3" s="1"/>
  <c r="D133" i="3"/>
  <c r="G133" i="3" s="1"/>
  <c r="J133" i="3" s="1"/>
  <c r="D134" i="3"/>
  <c r="G134" i="3" s="1"/>
  <c r="J134" i="3" s="1"/>
  <c r="D135" i="3"/>
  <c r="G135" i="3" s="1"/>
  <c r="J135" i="3" s="1"/>
  <c r="D136" i="3"/>
  <c r="G136" i="3" s="1"/>
  <c r="J136" i="3" s="1"/>
  <c r="D137" i="3"/>
  <c r="G137" i="3" s="1"/>
  <c r="J137" i="3" s="1"/>
  <c r="D138" i="3"/>
  <c r="G138" i="3" s="1"/>
  <c r="J138" i="3" s="1"/>
  <c r="D139" i="3"/>
  <c r="G139" i="3" s="1"/>
  <c r="J139" i="3" s="1"/>
  <c r="D140" i="3"/>
  <c r="G140" i="3" s="1"/>
  <c r="J140" i="3" s="1"/>
  <c r="D129" i="3"/>
  <c r="C99" i="3"/>
  <c r="D99" i="3" s="1"/>
  <c r="C100" i="3"/>
  <c r="D100" i="3" s="1"/>
  <c r="C101" i="3"/>
  <c r="D101" i="3" s="1"/>
  <c r="C102" i="3"/>
  <c r="D102" i="3" s="1"/>
  <c r="C103" i="3"/>
  <c r="D103" i="3" s="1"/>
  <c r="C104" i="3"/>
  <c r="D104" i="3" s="1"/>
  <c r="C105" i="3"/>
  <c r="D105" i="3" s="1"/>
  <c r="C106" i="3"/>
  <c r="D106" i="3" s="1"/>
  <c r="C107" i="3"/>
  <c r="D107" i="3" s="1"/>
  <c r="C108" i="3"/>
  <c r="D108" i="3" s="1"/>
  <c r="C109" i="3"/>
  <c r="D109" i="3" s="1"/>
  <c r="C98" i="3"/>
  <c r="D98" i="3" s="1"/>
  <c r="G61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H48" i="3"/>
  <c r="G48" i="3"/>
  <c r="B60" i="3"/>
  <c r="B49" i="3" s="1"/>
  <c r="C49" i="3" s="1"/>
  <c r="D49" i="3" s="1"/>
  <c r="G129" i="3" l="1"/>
  <c r="J129" i="3" s="1"/>
  <c r="H129" i="3"/>
  <c r="K129" i="3" s="1"/>
  <c r="C84" i="3"/>
  <c r="I153" i="3"/>
  <c r="J153" i="3" s="1"/>
  <c r="K153" i="3" s="1"/>
  <c r="Q155" i="3"/>
  <c r="R155" i="3" s="1"/>
  <c r="S155" i="3" s="1"/>
  <c r="E151" i="3"/>
  <c r="F151" i="3" s="1"/>
  <c r="G151" i="3" s="1"/>
  <c r="E166" i="3"/>
  <c r="F166" i="3" s="1"/>
  <c r="G166" i="3" s="1"/>
  <c r="G169" i="3" s="1"/>
  <c r="E180" i="3"/>
  <c r="F180" i="3" s="1"/>
  <c r="G180" i="3" s="1"/>
  <c r="G181" i="3" s="1"/>
  <c r="I179" i="3"/>
  <c r="J179" i="3" s="1"/>
  <c r="K179" i="3" s="1"/>
  <c r="I155" i="3"/>
  <c r="J155" i="3" s="1"/>
  <c r="K155" i="3" s="1"/>
  <c r="I151" i="3"/>
  <c r="J151" i="3" s="1"/>
  <c r="K151" i="3" s="1"/>
  <c r="M153" i="3"/>
  <c r="N153" i="3" s="1"/>
  <c r="O153" i="3" s="1"/>
  <c r="Q151" i="3"/>
  <c r="R151" i="3" s="1"/>
  <c r="S151" i="3" s="1"/>
  <c r="I168" i="3"/>
  <c r="J168" i="3" s="1"/>
  <c r="K168" i="3" s="1"/>
  <c r="M152" i="3"/>
  <c r="N152" i="3" s="1"/>
  <c r="O152" i="3" s="1"/>
  <c r="I154" i="3"/>
  <c r="J154" i="3" s="1"/>
  <c r="K154" i="3" s="1"/>
  <c r="M150" i="3"/>
  <c r="N150" i="3" s="1"/>
  <c r="O150" i="3" s="1"/>
  <c r="E150" i="3"/>
  <c r="F150" i="3" s="1"/>
  <c r="G150" i="3" s="1"/>
  <c r="I178" i="3"/>
  <c r="J178" i="3" s="1"/>
  <c r="K178" i="3" s="1"/>
  <c r="M155" i="3"/>
  <c r="N155" i="3" s="1"/>
  <c r="O155" i="3" s="1"/>
  <c r="Q153" i="3"/>
  <c r="R153" i="3" s="1"/>
  <c r="S153" i="3" s="1"/>
  <c r="M151" i="3"/>
  <c r="N151" i="3" s="1"/>
  <c r="O151" i="3" s="1"/>
  <c r="Q154" i="3"/>
  <c r="R154" i="3" s="1"/>
  <c r="S154" i="3" s="1"/>
  <c r="Q150" i="3"/>
  <c r="R150" i="3" s="1"/>
  <c r="S150" i="3" s="1"/>
  <c r="E155" i="3"/>
  <c r="F155" i="3" s="1"/>
  <c r="G155" i="3" s="1"/>
  <c r="I150" i="3"/>
  <c r="J150" i="3" s="1"/>
  <c r="K150" i="3" s="1"/>
  <c r="I152" i="3"/>
  <c r="J152" i="3" s="1"/>
  <c r="K152" i="3" s="1"/>
  <c r="I167" i="3"/>
  <c r="J167" i="3" s="1"/>
  <c r="K167" i="3" s="1"/>
  <c r="M154" i="3"/>
  <c r="N154" i="3" s="1"/>
  <c r="O154" i="3" s="1"/>
  <c r="Q152" i="3"/>
  <c r="R152" i="3" s="1"/>
  <c r="S152" i="3" s="1"/>
  <c r="B53" i="3"/>
  <c r="C53" i="3" s="1"/>
  <c r="D53" i="3" s="1"/>
  <c r="B55" i="3"/>
  <c r="C55" i="3" s="1"/>
  <c r="D55" i="3" s="1"/>
  <c r="B52" i="3"/>
  <c r="C52" i="3" s="1"/>
  <c r="D52" i="3" s="1"/>
  <c r="B50" i="3"/>
  <c r="C50" i="3" s="1"/>
  <c r="D50" i="3" s="1"/>
  <c r="B57" i="3"/>
  <c r="C57" i="3" s="1"/>
  <c r="D57" i="3" s="1"/>
  <c r="B48" i="3"/>
  <c r="C48" i="3" s="1"/>
  <c r="D48" i="3" s="1"/>
  <c r="B51" i="3"/>
  <c r="C51" i="3" s="1"/>
  <c r="D51" i="3" s="1"/>
  <c r="B58" i="3"/>
  <c r="C58" i="3" s="1"/>
  <c r="D58" i="3" s="1"/>
  <c r="B59" i="3"/>
  <c r="C59" i="3" s="1"/>
  <c r="D59" i="3" s="1"/>
  <c r="B56" i="3"/>
  <c r="C56" i="3" s="1"/>
  <c r="D56" i="3" s="1"/>
  <c r="B54" i="3"/>
  <c r="C54" i="3" s="1"/>
  <c r="D54" i="3" s="1"/>
  <c r="M132" i="3"/>
  <c r="M140" i="3"/>
  <c r="M136" i="3"/>
  <c r="M134" i="3"/>
  <c r="M138" i="3"/>
  <c r="M130" i="3"/>
  <c r="M137" i="3"/>
  <c r="M133" i="3"/>
  <c r="M139" i="3"/>
  <c r="M135" i="3"/>
  <c r="M131" i="3"/>
  <c r="I51" i="3"/>
  <c r="F51" i="3" s="1"/>
  <c r="I50" i="3"/>
  <c r="F50" i="3" s="1"/>
  <c r="I52" i="3"/>
  <c r="F52" i="3" s="1"/>
  <c r="I59" i="3"/>
  <c r="F59" i="3" s="1"/>
  <c r="I55" i="3"/>
  <c r="F55" i="3" s="1"/>
  <c r="I53" i="3"/>
  <c r="F53" i="3" s="1"/>
  <c r="I48" i="3"/>
  <c r="F48" i="3" s="1"/>
  <c r="I58" i="3"/>
  <c r="F58" i="3" s="1"/>
  <c r="I56" i="3"/>
  <c r="F56" i="3" s="1"/>
  <c r="I57" i="3"/>
  <c r="F57" i="3" s="1"/>
  <c r="I54" i="3"/>
  <c r="F54" i="3" s="1"/>
  <c r="I49" i="3"/>
  <c r="F49" i="3" s="1"/>
  <c r="M129" i="3" l="1"/>
  <c r="M141" i="3" s="1"/>
  <c r="K169" i="3"/>
  <c r="G156" i="3"/>
  <c r="S156" i="3"/>
  <c r="O156" i="3"/>
  <c r="K156" i="3"/>
  <c r="K181" i="3"/>
  <c r="D60" i="3"/>
  <c r="I60" i="3"/>
  <c r="B12" i="3" l="1"/>
  <c r="B11" i="3"/>
  <c r="B10" i="3" l="1"/>
  <c r="B9" i="3"/>
  <c r="E189" i="3" s="1"/>
  <c r="F189" i="3" l="1"/>
  <c r="D189" i="3"/>
</calcChain>
</file>

<file path=xl/sharedStrings.xml><?xml version="1.0" encoding="utf-8"?>
<sst xmlns="http://schemas.openxmlformats.org/spreadsheetml/2006/main" count="81" uniqueCount="59">
  <si>
    <t>MHz</t>
  </si>
  <si>
    <t>m</t>
  </si>
  <si>
    <t>nat ab (%)</t>
  </si>
  <si>
    <t>nuc spin</t>
  </si>
  <si>
    <t>79Br</t>
  </si>
  <si>
    <t>81Br</t>
  </si>
  <si>
    <t>85Rb</t>
  </si>
  <si>
    <t>87Rb</t>
  </si>
  <si>
    <r>
      <t>J=7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8 and 8→9</t>
    </r>
  </si>
  <si>
    <t>From A. Honig, M. Mandel, M. L. Stitch, C. H. Townes, Phys. Rev., 96, 629-642 (1954)</t>
  </si>
  <si>
    <t>Model1</t>
  </si>
  <si>
    <t>dev</t>
  </si>
  <si>
    <t>dev^2</t>
  </si>
  <si>
    <t>Model2</t>
  </si>
  <si>
    <t>dev1</t>
  </si>
  <si>
    <t>dev2</t>
  </si>
  <si>
    <t>devmin</t>
  </si>
  <si>
    <t>"J+1"</t>
  </si>
  <si>
    <t>J</t>
  </si>
  <si>
    <t>J+1</t>
  </si>
  <si>
    <t>2B</t>
  </si>
  <si>
    <t>looks like an overlay of three different vibrational progressions</t>
  </si>
  <si>
    <t>v</t>
  </si>
  <si>
    <t>Species</t>
  </si>
  <si>
    <t>Model3</t>
  </si>
  <si>
    <t>dev3</t>
  </si>
  <si>
    <t>dev1^2</t>
  </si>
  <si>
    <t>dev2^2</t>
  </si>
  <si>
    <t>dev3^2</t>
  </si>
  <si>
    <r>
      <t>2B</t>
    </r>
    <r>
      <rPr>
        <vertAlign val="subscript"/>
        <sz val="11"/>
        <color theme="1"/>
        <rFont val="Calibri"/>
        <family val="2"/>
        <scheme val="minor"/>
      </rPr>
      <t>e</t>
    </r>
  </si>
  <si>
    <r>
      <t>2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</si>
  <si>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Species1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</si>
  <si>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</si>
  <si>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</si>
  <si>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Species2</t>
  </si>
  <si>
    <t>Species3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</si>
  <si>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</si>
  <si>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t>μ ratio</t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</si>
  <si>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</si>
  <si>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85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</si>
  <si>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79</t>
    </r>
    <r>
      <rPr>
        <sz val="11"/>
        <color theme="1"/>
        <rFont val="Calibri"/>
        <family val="2"/>
        <scheme val="minor"/>
      </rPr>
      <t>Br</t>
    </r>
  </si>
  <si>
    <r>
      <rPr>
        <vertAlign val="superscript"/>
        <sz val="11"/>
        <color theme="1"/>
        <rFont val="Calibri"/>
        <family val="2"/>
        <scheme val="minor"/>
      </rPr>
      <t>87</t>
    </r>
    <r>
      <rPr>
        <sz val="11"/>
        <color theme="1"/>
        <rFont val="Calibri"/>
        <family val="2"/>
        <scheme val="minor"/>
      </rPr>
      <t>Rb</t>
    </r>
    <r>
      <rPr>
        <vertAlign val="superscript"/>
        <sz val="11"/>
        <color theme="1"/>
        <rFont val="Calibri"/>
        <family val="2"/>
        <scheme val="minor"/>
      </rPr>
      <t>81</t>
    </r>
    <r>
      <rPr>
        <sz val="11"/>
        <color theme="1"/>
        <rFont val="Calibri"/>
        <family val="2"/>
        <scheme val="minor"/>
      </rPr>
      <t>Br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</si>
  <si>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</si>
  <si>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t>D</t>
    </r>
    <r>
      <rPr>
        <vertAlign val="subscript"/>
        <sz val="11"/>
        <color theme="1"/>
        <rFont val="Calibri"/>
        <family val="2"/>
        <scheme val="minor"/>
      </rPr>
      <t>e</t>
    </r>
  </si>
  <si>
    <t>Model4</t>
  </si>
  <si>
    <t>ratios</t>
  </si>
  <si>
    <t>highest</t>
  </si>
  <si>
    <t>est 2B</t>
  </si>
  <si>
    <t>First plot the data.</t>
  </si>
  <si>
    <t>uncertainty</t>
  </si>
  <si>
    <t>Perform a cluster analysis.</t>
  </si>
  <si>
    <t>Plot the cluster averages</t>
  </si>
  <si>
    <t>Assign J.</t>
  </si>
  <si>
    <t xml:space="preserve">Assign v to effective B </t>
  </si>
  <si>
    <t>Analysis of Species 1</t>
  </si>
  <si>
    <t>Analysis of Species 2</t>
  </si>
  <si>
    <t>Analysis of Species 3</t>
  </si>
  <si>
    <t>Compare Be and reduced mass rations to confirm assignments to Isotopologue.</t>
  </si>
  <si>
    <t>Plot the deviations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</si>
</sst>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0" fontId="0" fillId="0" borderId="0" xfId="0" applyFill="1"/>
    <xf numFmtId="0" fontId="0" fillId="2" borderId="0" xfId="0" applyFill="1"/>
    <xf numFmtId="0" fontId="2" fillId="2" borderId="0" xfId="0" applyFont="1" applyFill="1"/>
    <xf numFmtId="166" fontId="0" fillId="2" borderId="0" xfId="0" applyNumberForma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Microwave!$A$17:$A$28</c:f>
              <c:numCache>
                <c:formatCode>0.000</c:formatCode>
                <c:ptCount val="12"/>
                <c:pt idx="0">
                  <c:v>22752.29</c:v>
                </c:pt>
                <c:pt idx="1">
                  <c:v>25072.63</c:v>
                </c:pt>
                <c:pt idx="2">
                  <c:v>25116.57</c:v>
                </c:pt>
                <c:pt idx="3">
                  <c:v>25170.560000000001</c:v>
                </c:pt>
                <c:pt idx="4">
                  <c:v>25197.32</c:v>
                </c:pt>
                <c:pt idx="5">
                  <c:v>25214.65</c:v>
                </c:pt>
                <c:pt idx="6">
                  <c:v>25268.84</c:v>
                </c:pt>
                <c:pt idx="7">
                  <c:v>25296.52</c:v>
                </c:pt>
                <c:pt idx="8">
                  <c:v>25312.99</c:v>
                </c:pt>
                <c:pt idx="9">
                  <c:v>25396.14</c:v>
                </c:pt>
                <c:pt idx="10">
                  <c:v>25495.98</c:v>
                </c:pt>
                <c:pt idx="11">
                  <c:v>25596.03</c:v>
                </c:pt>
              </c:numCache>
            </c:numRef>
          </c:xVal>
          <c:yVal>
            <c:numRef>
              <c:f>Microwave!$C$17:$C$28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3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Microwave!$N$150:$N$155</c:f>
              <c:numCache>
                <c:formatCode>0.000</c:formatCode>
                <c:ptCount val="6"/>
                <c:pt idx="0">
                  <c:v>-2.5536792236380279E-7</c:v>
                </c:pt>
                <c:pt idx="1">
                  <c:v>-0.29800054301085765</c:v>
                </c:pt>
                <c:pt idx="2">
                  <c:v>0.1899994571285788</c:v>
                </c:pt>
                <c:pt idx="3">
                  <c:v>0.25799945727703744</c:v>
                </c:pt>
                <c:pt idx="4">
                  <c:v>0.10599945742069394</c:v>
                </c:pt>
                <c:pt idx="5">
                  <c:v>-0.25600054243113846</c:v>
                </c:pt>
              </c:numCache>
            </c:numRef>
          </c:xVal>
          <c:yVal>
            <c:numRef>
              <c:f>Microwave!$B$150:$B$155</c:f>
              <c:numCache>
                <c:formatCode>General</c:formatCode>
                <c:ptCount val="6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1AC-4CBF-AFB0-98E951F691F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4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B207-477D-A81B-EA9BCD6EC120}"/>
              </c:ext>
            </c:extLst>
          </c:dPt>
          <c:xVal>
            <c:numRef>
              <c:f>Microwave!$R$150:$R$155</c:f>
              <c:numCache>
                <c:formatCode>0.000</c:formatCode>
                <c:ptCount val="6"/>
                <c:pt idx="0">
                  <c:v>-2.3221218725666404E-8</c:v>
                </c:pt>
                <c:pt idx="1">
                  <c:v>-2.3714336177363293E-2</c:v>
                </c:pt>
                <c:pt idx="2">
                  <c:v>5.2857096634397749E-2</c:v>
                </c:pt>
                <c:pt idx="3">
                  <c:v>-1.6285759051243076E-2</c:v>
                </c:pt>
                <c:pt idx="4">
                  <c:v>-3.1142903248110088E-2</c:v>
                </c:pt>
                <c:pt idx="5">
                  <c:v>1.8285664038558025E-2</c:v>
                </c:pt>
              </c:numCache>
            </c:numRef>
          </c:xVal>
          <c:yVal>
            <c:numRef>
              <c:f>Microwave!$D$150:$D$155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07-477D-A81B-EA9BCD6EC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4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Microwave!$R$150:$R$155</c:f>
              <c:numCache>
                <c:formatCode>0.000</c:formatCode>
                <c:ptCount val="6"/>
                <c:pt idx="0">
                  <c:v>-2.3221218725666404E-8</c:v>
                </c:pt>
                <c:pt idx="1">
                  <c:v>-2.3714336177363293E-2</c:v>
                </c:pt>
                <c:pt idx="2">
                  <c:v>5.2857096634397749E-2</c:v>
                </c:pt>
                <c:pt idx="3">
                  <c:v>-1.6285759051243076E-2</c:v>
                </c:pt>
                <c:pt idx="4">
                  <c:v>-3.1142903248110088E-2</c:v>
                </c:pt>
                <c:pt idx="5">
                  <c:v>1.8285664038558025E-2</c:v>
                </c:pt>
              </c:numCache>
            </c:numRef>
          </c:xVal>
          <c:yVal>
            <c:numRef>
              <c:f>Microwave!$B$150:$B$155</c:f>
              <c:numCache>
                <c:formatCode>General</c:formatCode>
                <c:ptCount val="6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924-4EFE-9F4F-D5672CCFEA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(Microwave!$A$66:$A$77,Microwave!$A$79:$A$80)</c:f>
              <c:numCache>
                <c:formatCode>0.000</c:formatCode>
                <c:ptCount val="14"/>
                <c:pt idx="0">
                  <c:v>22752.29</c:v>
                </c:pt>
                <c:pt idx="1">
                  <c:v>25072.63</c:v>
                </c:pt>
                <c:pt idx="2">
                  <c:v>25116.57</c:v>
                </c:pt>
                <c:pt idx="3">
                  <c:v>25170.560000000001</c:v>
                </c:pt>
                <c:pt idx="4">
                  <c:v>25197.32</c:v>
                </c:pt>
                <c:pt idx="5">
                  <c:v>25214.65</c:v>
                </c:pt>
                <c:pt idx="6">
                  <c:v>25268.84</c:v>
                </c:pt>
                <c:pt idx="7">
                  <c:v>25296.52</c:v>
                </c:pt>
                <c:pt idx="8">
                  <c:v>25312.99</c:v>
                </c:pt>
                <c:pt idx="9">
                  <c:v>25396.14</c:v>
                </c:pt>
                <c:pt idx="10">
                  <c:v>25495.98</c:v>
                </c:pt>
                <c:pt idx="11">
                  <c:v>25596.03</c:v>
                </c:pt>
                <c:pt idx="12" formatCode="General">
                  <c:v>22752.29</c:v>
                </c:pt>
                <c:pt idx="13" formatCode="General">
                  <c:v>25285.293636363636</c:v>
                </c:pt>
              </c:numCache>
            </c:numRef>
          </c:xVal>
          <c:yVal>
            <c:numRef>
              <c:f>(Microwave!$B$66:$B$77,Microwave!$B$79:$B$80)</c:f>
              <c:numCache>
                <c:formatCode>General</c:formatCode>
                <c:ptCount val="1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2</c:v>
                </c:pt>
                <c:pt idx="13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F6B-4656-8E1D-667E5F4018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000"/>
          <c:min val="22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RbBr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Microwave!$A$66:$A$80</c:f>
              <c:numCache>
                <c:formatCode>0.000</c:formatCode>
                <c:ptCount val="15"/>
                <c:pt idx="0">
                  <c:v>22752.29</c:v>
                </c:pt>
                <c:pt idx="1">
                  <c:v>25072.63</c:v>
                </c:pt>
                <c:pt idx="2">
                  <c:v>25116.57</c:v>
                </c:pt>
                <c:pt idx="3">
                  <c:v>25170.560000000001</c:v>
                </c:pt>
                <c:pt idx="4">
                  <c:v>25197.32</c:v>
                </c:pt>
                <c:pt idx="5">
                  <c:v>25214.65</c:v>
                </c:pt>
                <c:pt idx="6">
                  <c:v>25268.84</c:v>
                </c:pt>
                <c:pt idx="7">
                  <c:v>25296.52</c:v>
                </c:pt>
                <c:pt idx="8">
                  <c:v>25312.99</c:v>
                </c:pt>
                <c:pt idx="9">
                  <c:v>25396.14</c:v>
                </c:pt>
                <c:pt idx="10">
                  <c:v>25495.98</c:v>
                </c:pt>
                <c:pt idx="11">
                  <c:v>25596.03</c:v>
                </c:pt>
                <c:pt idx="12" formatCode="General">
                  <c:v>25074.209999999992</c:v>
                </c:pt>
                <c:pt idx="13" formatCode="General">
                  <c:v>22752.29</c:v>
                </c:pt>
                <c:pt idx="14" formatCode="General">
                  <c:v>25285.293636363636</c:v>
                </c:pt>
              </c:numCache>
            </c:numRef>
          </c:xVal>
          <c:yVal>
            <c:numRef>
              <c:f>Microwave!$B$66:$B$80</c:f>
              <c:numCache>
                <c:formatCode>General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1</c:v>
                </c:pt>
                <c:pt idx="13">
                  <c:v>2</c:v>
                </c:pt>
                <c:pt idx="14">
                  <c:v>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E5-4AFC-B506-23F6C945AC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000"/>
          <c:min val="225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2B, Assignment #1 (J=7,8)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Microwave!$D$98:$D$109</c:f>
              <c:numCache>
                <c:formatCode>General</c:formatCode>
                <c:ptCount val="12"/>
                <c:pt idx="0">
                  <c:v>2844.0362500000001</c:v>
                </c:pt>
                <c:pt idx="1">
                  <c:v>2785.847777777778</c:v>
                </c:pt>
                <c:pt idx="2">
                  <c:v>2790.73</c:v>
                </c:pt>
                <c:pt idx="3">
                  <c:v>2796.7288888888888</c:v>
                </c:pt>
                <c:pt idx="4">
                  <c:v>2799.7022222222222</c:v>
                </c:pt>
                <c:pt idx="5">
                  <c:v>2801.6277777777777</c:v>
                </c:pt>
                <c:pt idx="6">
                  <c:v>2807.6488888888889</c:v>
                </c:pt>
                <c:pt idx="7">
                  <c:v>2810.7244444444445</c:v>
                </c:pt>
                <c:pt idx="8">
                  <c:v>2812.5544444444445</c:v>
                </c:pt>
                <c:pt idx="9">
                  <c:v>2821.7933333333331</c:v>
                </c:pt>
                <c:pt idx="10">
                  <c:v>2832.8866666666668</c:v>
                </c:pt>
                <c:pt idx="11">
                  <c:v>2844.0033333333331</c:v>
                </c:pt>
              </c:numCache>
            </c:numRef>
          </c:xVal>
          <c:yVal>
            <c:numRef>
              <c:f>Microwave!$E$98:$E$109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8EA-4F3A-BDD2-8419E2DE37F6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Microwave!$D$98:$D$109</c:f>
              <c:numCache>
                <c:formatCode>General</c:formatCode>
                <c:ptCount val="12"/>
                <c:pt idx="0">
                  <c:v>2844.0362500000001</c:v>
                </c:pt>
                <c:pt idx="1">
                  <c:v>2785.847777777778</c:v>
                </c:pt>
                <c:pt idx="2">
                  <c:v>2790.73</c:v>
                </c:pt>
                <c:pt idx="3">
                  <c:v>2796.7288888888888</c:v>
                </c:pt>
                <c:pt idx="4">
                  <c:v>2799.7022222222222</c:v>
                </c:pt>
                <c:pt idx="5">
                  <c:v>2801.6277777777777</c:v>
                </c:pt>
                <c:pt idx="6">
                  <c:v>2807.6488888888889</c:v>
                </c:pt>
                <c:pt idx="7">
                  <c:v>2810.7244444444445</c:v>
                </c:pt>
                <c:pt idx="8">
                  <c:v>2812.5544444444445</c:v>
                </c:pt>
                <c:pt idx="9">
                  <c:v>2821.7933333333331</c:v>
                </c:pt>
                <c:pt idx="10">
                  <c:v>2832.8866666666668</c:v>
                </c:pt>
                <c:pt idx="11">
                  <c:v>2844.0033333333331</c:v>
                </c:pt>
              </c:numCache>
            </c:numRef>
          </c:xVal>
          <c:yVal>
            <c:numRef>
              <c:f>Microwave!$F$98:$F$109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569-444E-A3C8-0B6053E767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2B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2B, Assignment #2 (J=8,9)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Microwave!$D$113:$D$124</c:f>
              <c:numCache>
                <c:formatCode>General</c:formatCode>
                <c:ptCount val="12"/>
                <c:pt idx="0">
                  <c:v>2528.0322222222221</c:v>
                </c:pt>
                <c:pt idx="1">
                  <c:v>2507.2629999999999</c:v>
                </c:pt>
                <c:pt idx="2">
                  <c:v>2511.6570000000002</c:v>
                </c:pt>
                <c:pt idx="3">
                  <c:v>2517.056</c:v>
                </c:pt>
                <c:pt idx="4">
                  <c:v>2519.732</c:v>
                </c:pt>
                <c:pt idx="5">
                  <c:v>2521.4650000000001</c:v>
                </c:pt>
                <c:pt idx="6">
                  <c:v>2526.884</c:v>
                </c:pt>
                <c:pt idx="7">
                  <c:v>2529.652</c:v>
                </c:pt>
                <c:pt idx="8">
                  <c:v>2531.299</c:v>
                </c:pt>
                <c:pt idx="9">
                  <c:v>2539.614</c:v>
                </c:pt>
                <c:pt idx="10">
                  <c:v>2549.598</c:v>
                </c:pt>
                <c:pt idx="11">
                  <c:v>2559.6030000000001</c:v>
                </c:pt>
              </c:numCache>
            </c:numRef>
          </c:xVal>
          <c:yVal>
            <c:numRef>
              <c:f>Microwave!$E$113:$E$124</c:f>
              <c:numCache>
                <c:formatCode>General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032-4A60-8C75-AF35F228587D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Microwave!$D$113:$D$124</c:f>
              <c:numCache>
                <c:formatCode>General</c:formatCode>
                <c:ptCount val="12"/>
                <c:pt idx="0">
                  <c:v>2528.0322222222221</c:v>
                </c:pt>
                <c:pt idx="1">
                  <c:v>2507.2629999999999</c:v>
                </c:pt>
                <c:pt idx="2">
                  <c:v>2511.6570000000002</c:v>
                </c:pt>
                <c:pt idx="3">
                  <c:v>2517.056</c:v>
                </c:pt>
                <c:pt idx="4">
                  <c:v>2519.732</c:v>
                </c:pt>
                <c:pt idx="5">
                  <c:v>2521.4650000000001</c:v>
                </c:pt>
                <c:pt idx="6">
                  <c:v>2526.884</c:v>
                </c:pt>
                <c:pt idx="7">
                  <c:v>2529.652</c:v>
                </c:pt>
                <c:pt idx="8">
                  <c:v>2531.299</c:v>
                </c:pt>
                <c:pt idx="9">
                  <c:v>2539.614</c:v>
                </c:pt>
                <c:pt idx="10">
                  <c:v>2549.598</c:v>
                </c:pt>
                <c:pt idx="11">
                  <c:v>2559.6030000000001</c:v>
                </c:pt>
              </c:numCache>
            </c:numRef>
          </c:xVal>
          <c:yVal>
            <c:numRef>
              <c:f>Microwave!$F$113:$F$124</c:f>
              <c:numCache>
                <c:formatCode>General</c:formatCode>
                <c:ptCount val="12"/>
                <c:pt idx="0">
                  <c:v>1</c:v>
                </c:pt>
                <c:pt idx="1">
                  <c:v>3</c:v>
                </c:pt>
                <c:pt idx="2">
                  <c:v>2</c:v>
                </c:pt>
                <c:pt idx="3">
                  <c:v>3</c:v>
                </c:pt>
                <c:pt idx="4">
                  <c:v>1</c:v>
                </c:pt>
                <c:pt idx="5">
                  <c:v>2</c:v>
                </c:pt>
                <c:pt idx="6">
                  <c:v>3</c:v>
                </c:pt>
                <c:pt idx="7">
                  <c:v>1</c:v>
                </c:pt>
                <c:pt idx="8">
                  <c:v>2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28E-4105-AC46-807BB7F426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2B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1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B10E-480A-A02F-0F0933DEAF06}"/>
              </c:ext>
            </c:extLst>
          </c:dPt>
          <c:xVal>
            <c:numRef>
              <c:f>Microwave!$F$150:$F$155</c:f>
              <c:numCache>
                <c:formatCode>0.000</c:formatCode>
                <c:ptCount val="6"/>
                <c:pt idx="0">
                  <c:v>-0.33301533720441512</c:v>
                </c:pt>
                <c:pt idx="1">
                  <c:v>-0.35720249010046246</c:v>
                </c:pt>
                <c:pt idx="2">
                  <c:v>0.19000006883288734</c:v>
                </c:pt>
                <c:pt idx="3">
                  <c:v>0.31720262777162134</c:v>
                </c:pt>
                <c:pt idx="4">
                  <c:v>0.22440518670555321</c:v>
                </c:pt>
                <c:pt idx="5">
                  <c:v>-7.8392254352365853E-2</c:v>
                </c:pt>
              </c:numCache>
            </c:numRef>
          </c:xVal>
          <c:yVal>
            <c:numRef>
              <c:f>Microwave!$D$150:$D$155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0E-480A-A02F-0F0933DEAF0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1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Microwave!$F$150:$F$155</c:f>
              <c:numCache>
                <c:formatCode>0.000</c:formatCode>
                <c:ptCount val="6"/>
                <c:pt idx="0">
                  <c:v>-0.33301533720441512</c:v>
                </c:pt>
                <c:pt idx="1">
                  <c:v>-0.35720249010046246</c:v>
                </c:pt>
                <c:pt idx="2">
                  <c:v>0.19000006883288734</c:v>
                </c:pt>
                <c:pt idx="3">
                  <c:v>0.31720262777162134</c:v>
                </c:pt>
                <c:pt idx="4">
                  <c:v>0.22440518670555321</c:v>
                </c:pt>
                <c:pt idx="5">
                  <c:v>-7.8392254352365853E-2</c:v>
                </c:pt>
              </c:numCache>
            </c:numRef>
          </c:xVal>
          <c:yVal>
            <c:numRef>
              <c:f>Microwave!$B$150:$B$155</c:f>
              <c:numCache>
                <c:formatCode>General</c:formatCode>
                <c:ptCount val="6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C78E-43E0-8A98-40C409F071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2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7E1C-4BAD-8817-BDBF30106566}"/>
              </c:ext>
            </c:extLst>
          </c:dPt>
          <c:xVal>
            <c:numRef>
              <c:f>Microwave!$J$150:$J$155</c:f>
              <c:numCache>
                <c:formatCode>0.000</c:formatCode>
                <c:ptCount val="6"/>
                <c:pt idx="0">
                  <c:v>-0.14535593716937001</c:v>
                </c:pt>
                <c:pt idx="1">
                  <c:v>-1.2639587330340873E-2</c:v>
                </c:pt>
                <c:pt idx="2">
                  <c:v>3.4399294378090417E-2</c:v>
                </c:pt>
                <c:pt idx="3">
                  <c:v>-2.7360385378415231E-2</c:v>
                </c:pt>
                <c:pt idx="4">
                  <c:v>2.0813733899558429E-3</c:v>
                </c:pt>
                <c:pt idx="5">
                  <c:v>0.13272457068524091</c:v>
                </c:pt>
              </c:numCache>
            </c:numRef>
          </c:xVal>
          <c:yVal>
            <c:numRef>
              <c:f>Microwave!$D$150:$D$155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E1C-4BAD-8817-BDBF3010656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2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Microwave!$J$150:$J$155</c:f>
              <c:numCache>
                <c:formatCode>0.000</c:formatCode>
                <c:ptCount val="6"/>
                <c:pt idx="0">
                  <c:v>-0.14535593716937001</c:v>
                </c:pt>
                <c:pt idx="1">
                  <c:v>-1.2639587330340873E-2</c:v>
                </c:pt>
                <c:pt idx="2">
                  <c:v>3.4399294378090417E-2</c:v>
                </c:pt>
                <c:pt idx="3">
                  <c:v>-2.7360385378415231E-2</c:v>
                </c:pt>
                <c:pt idx="4">
                  <c:v>2.0813733899558429E-3</c:v>
                </c:pt>
                <c:pt idx="5">
                  <c:v>0.13272457068524091</c:v>
                </c:pt>
              </c:numCache>
            </c:numRef>
          </c:xVal>
          <c:yVal>
            <c:numRef>
              <c:f>Microwave!$B$150:$B$155</c:f>
              <c:numCache>
                <c:formatCode>General</c:formatCode>
                <c:ptCount val="6"/>
                <c:pt idx="0">
                  <c:v>7</c:v>
                </c:pt>
                <c:pt idx="1">
                  <c:v>8</c:v>
                </c:pt>
                <c:pt idx="2">
                  <c:v>8</c:v>
                </c:pt>
                <c:pt idx="3">
                  <c:v>8</c:v>
                </c:pt>
                <c:pt idx="4">
                  <c:v>8</c:v>
                </c:pt>
                <c:pt idx="5">
                  <c:v>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697-47CB-B96D-19690AFDC1E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3 </a:t>
            </a:r>
            <a:r>
              <a:rPr lang="en-CA"/>
              <a:t>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EBB8-4036-BBB5-B96438FD253F}"/>
              </c:ext>
            </c:extLst>
          </c:dPt>
          <c:xVal>
            <c:numRef>
              <c:f>Microwave!$N$150:$N$155</c:f>
              <c:numCache>
                <c:formatCode>0.000</c:formatCode>
                <c:ptCount val="6"/>
                <c:pt idx="0">
                  <c:v>-2.5536792236380279E-7</c:v>
                </c:pt>
                <c:pt idx="1">
                  <c:v>-0.29800054301085765</c:v>
                </c:pt>
                <c:pt idx="2">
                  <c:v>0.1899994571285788</c:v>
                </c:pt>
                <c:pt idx="3">
                  <c:v>0.25799945727703744</c:v>
                </c:pt>
                <c:pt idx="4">
                  <c:v>0.10599945742069394</c:v>
                </c:pt>
                <c:pt idx="5">
                  <c:v>-0.25600054243113846</c:v>
                </c:pt>
              </c:numCache>
            </c:numRef>
          </c:xVal>
          <c:yVal>
            <c:numRef>
              <c:f>Microwave!$D$150:$D$155</c:f>
              <c:numCache>
                <c:formatCode>General</c:formatCode>
                <c:ptCount val="6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BB8-4036-BBB5-B96438FD25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81357432"/>
        <c:axId val="581359728"/>
      </c:scatterChart>
      <c:valAx>
        <c:axId val="5813574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9728"/>
        <c:crosses val="autoZero"/>
        <c:crossBetween val="midCat"/>
      </c:valAx>
      <c:valAx>
        <c:axId val="5813597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813574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13</xdr:row>
      <xdr:rowOff>119062</xdr:rowOff>
    </xdr:from>
    <xdr:to>
      <xdr:col>24</xdr:col>
      <xdr:colOff>314325</xdr:colOff>
      <xdr:row>43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66675</xdr:colOff>
      <xdr:row>64</xdr:row>
      <xdr:rowOff>47625</xdr:rowOff>
    </xdr:from>
    <xdr:to>
      <xdr:col>14</xdr:col>
      <xdr:colOff>438150</xdr:colOff>
      <xdr:row>92</xdr:row>
      <xdr:rowOff>85725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0</xdr:colOff>
      <xdr:row>97</xdr:row>
      <xdr:rowOff>0</xdr:rowOff>
    </xdr:from>
    <xdr:to>
      <xdr:col>17</xdr:col>
      <xdr:colOff>495300</xdr:colOff>
      <xdr:row>120</xdr:row>
      <xdr:rowOff>176213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18</xdr:col>
      <xdr:colOff>0</xdr:colOff>
      <xdr:row>97</xdr:row>
      <xdr:rowOff>0</xdr:rowOff>
    </xdr:from>
    <xdr:to>
      <xdr:col>30</xdr:col>
      <xdr:colOff>142875</xdr:colOff>
      <xdr:row>120</xdr:row>
      <xdr:rowOff>176213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0</xdr:colOff>
      <xdr:row>192</xdr:row>
      <xdr:rowOff>0</xdr:rowOff>
    </xdr:from>
    <xdr:to>
      <xdr:col>5</xdr:col>
      <xdr:colOff>428625</xdr:colOff>
      <xdr:row>206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409575</xdr:colOff>
      <xdr:row>192</xdr:row>
      <xdr:rowOff>0</xdr:rowOff>
    </xdr:from>
    <xdr:to>
      <xdr:col>11</xdr:col>
      <xdr:colOff>152400</xdr:colOff>
      <xdr:row>206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11</xdr:col>
      <xdr:colOff>180975</xdr:colOff>
      <xdr:row>191</xdr:row>
      <xdr:rowOff>180975</xdr:rowOff>
    </xdr:from>
    <xdr:to>
      <xdr:col>18</xdr:col>
      <xdr:colOff>485775</xdr:colOff>
      <xdr:row>206</xdr:row>
      <xdr:rowOff>66675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18</xdr:col>
      <xdr:colOff>514350</xdr:colOff>
      <xdr:row>191</xdr:row>
      <xdr:rowOff>171450</xdr:rowOff>
    </xdr:from>
    <xdr:to>
      <xdr:col>26</xdr:col>
      <xdr:colOff>85725</xdr:colOff>
      <xdr:row>206</xdr:row>
      <xdr:rowOff>57150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0</xdr:colOff>
      <xdr:row>207</xdr:row>
      <xdr:rowOff>0</xdr:rowOff>
    </xdr:from>
    <xdr:to>
      <xdr:col>5</xdr:col>
      <xdr:colOff>428625</xdr:colOff>
      <xdr:row>221</xdr:row>
      <xdr:rowOff>76200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5</xdr:col>
      <xdr:colOff>476250</xdr:colOff>
      <xdr:row>206</xdr:row>
      <xdr:rowOff>161925</xdr:rowOff>
    </xdr:from>
    <xdr:to>
      <xdr:col>11</xdr:col>
      <xdr:colOff>219075</xdr:colOff>
      <xdr:row>221</xdr:row>
      <xdr:rowOff>47625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11</xdr:col>
      <xdr:colOff>209550</xdr:colOff>
      <xdr:row>206</xdr:row>
      <xdr:rowOff>123825</xdr:rowOff>
    </xdr:from>
    <xdr:to>
      <xdr:col>18</xdr:col>
      <xdr:colOff>514350</xdr:colOff>
      <xdr:row>221</xdr:row>
      <xdr:rowOff>9525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18</xdr:col>
      <xdr:colOff>552450</xdr:colOff>
      <xdr:row>206</xdr:row>
      <xdr:rowOff>152400</xdr:rowOff>
    </xdr:from>
    <xdr:to>
      <xdr:col>26</xdr:col>
      <xdr:colOff>123825</xdr:colOff>
      <xdr:row>221</xdr:row>
      <xdr:rowOff>38100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15</xdr:col>
      <xdr:colOff>0</xdr:colOff>
      <xdr:row>64</xdr:row>
      <xdr:rowOff>0</xdr:rowOff>
    </xdr:from>
    <xdr:to>
      <xdr:col>27</xdr:col>
      <xdr:colOff>361950</xdr:colOff>
      <xdr:row>92</xdr:row>
      <xdr:rowOff>38100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91"/>
  <sheetViews>
    <sheetView tabSelected="1" topLeftCell="A193" workbookViewId="0">
      <selection activeCell="A191" sqref="A191:XFD191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11.85546875" customWidth="1"/>
    <col min="8" max="8" width="13.7109375" bestFit="1" customWidth="1"/>
    <col min="9" max="9" width="10.5703125" bestFit="1" customWidth="1"/>
    <col min="10" max="10" width="16.7109375" bestFit="1" customWidth="1"/>
    <col min="11" max="11" width="10.42578125" customWidth="1"/>
    <col min="21" max="21" width="11" customWidth="1"/>
  </cols>
  <sheetData>
    <row r="1" spans="1:8" x14ac:dyDescent="0.25">
      <c r="A1" t="s">
        <v>9</v>
      </c>
    </row>
    <row r="3" spans="1:8" x14ac:dyDescent="0.25">
      <c r="A3" t="s">
        <v>8</v>
      </c>
    </row>
    <row r="4" spans="1:8" x14ac:dyDescent="0.25">
      <c r="B4" t="s">
        <v>1</v>
      </c>
      <c r="C4" t="s">
        <v>49</v>
      </c>
      <c r="D4" t="s">
        <v>2</v>
      </c>
      <c r="E4" t="s">
        <v>3</v>
      </c>
    </row>
    <row r="5" spans="1:8" x14ac:dyDescent="0.25">
      <c r="A5" t="s">
        <v>6</v>
      </c>
      <c r="B5" s="2">
        <v>84.911789737999996</v>
      </c>
      <c r="C5" s="3">
        <v>1.2E-8</v>
      </c>
      <c r="D5" s="4">
        <v>72.17</v>
      </c>
      <c r="E5" s="5">
        <v>2.5</v>
      </c>
      <c r="H5">
        <f>2700*8</f>
        <v>21600</v>
      </c>
    </row>
    <row r="6" spans="1:8" x14ac:dyDescent="0.25">
      <c r="A6" t="s">
        <v>7</v>
      </c>
      <c r="B6" s="2">
        <v>86.909180527000004</v>
      </c>
      <c r="C6" s="3">
        <v>1.3000000000000001E-8</v>
      </c>
      <c r="D6" s="4">
        <v>27.83</v>
      </c>
      <c r="E6" s="5">
        <v>1.5</v>
      </c>
      <c r="H6">
        <f>2700*9</f>
        <v>24300</v>
      </c>
    </row>
    <row r="7" spans="1:8" x14ac:dyDescent="0.25">
      <c r="A7" t="s">
        <v>4</v>
      </c>
      <c r="B7" s="2">
        <v>78.918337100000002</v>
      </c>
      <c r="C7" s="3">
        <v>2.0999999999999998E-6</v>
      </c>
      <c r="D7" s="4">
        <v>50.69</v>
      </c>
      <c r="E7" s="5">
        <v>1.5</v>
      </c>
      <c r="H7">
        <f>2700*10</f>
        <v>27000</v>
      </c>
    </row>
    <row r="8" spans="1:8" x14ac:dyDescent="0.25">
      <c r="A8" t="s">
        <v>5</v>
      </c>
      <c r="B8" s="2">
        <v>80.916290599999996</v>
      </c>
      <c r="C8" s="3">
        <v>2.0999999999999998E-6</v>
      </c>
      <c r="D8" s="4">
        <v>49.31</v>
      </c>
      <c r="E8" s="5">
        <v>1.5</v>
      </c>
    </row>
    <row r="9" spans="1:8" ht="17.25" x14ac:dyDescent="0.25">
      <c r="A9" t="s">
        <v>38</v>
      </c>
      <c r="B9" s="1">
        <f>B5*B7/(B5+B7)</f>
        <v>40.902716586028426</v>
      </c>
    </row>
    <row r="10" spans="1:8" ht="17.25" x14ac:dyDescent="0.25">
      <c r="A10" t="s">
        <v>39</v>
      </c>
      <c r="B10" s="1">
        <f>B5*B8/(B5+B8)</f>
        <v>41.432952970339926</v>
      </c>
    </row>
    <row r="11" spans="1:8" ht="17.25" x14ac:dyDescent="0.25">
      <c r="A11" t="s">
        <v>40</v>
      </c>
      <c r="B11" s="1">
        <f>B6*B7/(B6+B7)</f>
        <v>41.36061435438026</v>
      </c>
    </row>
    <row r="12" spans="1:8" ht="17.25" x14ac:dyDescent="0.25">
      <c r="A12" t="s">
        <v>41</v>
      </c>
      <c r="B12" s="1">
        <f>B6*B8/(B6+B8)</f>
        <v>41.902867664282788</v>
      </c>
    </row>
    <row r="13" spans="1:8" x14ac:dyDescent="0.25">
      <c r="B13" s="1"/>
    </row>
    <row r="14" spans="1:8" s="9" customFormat="1" x14ac:dyDescent="0.25">
      <c r="A14" s="9" t="s">
        <v>48</v>
      </c>
      <c r="B14" s="10"/>
    </row>
    <row r="15" spans="1:8" x14ac:dyDescent="0.25">
      <c r="B15" s="1"/>
    </row>
    <row r="16" spans="1:8" x14ac:dyDescent="0.25">
      <c r="A16" t="s">
        <v>0</v>
      </c>
      <c r="B16" t="s">
        <v>49</v>
      </c>
    </row>
    <row r="17" spans="1:3" x14ac:dyDescent="0.25">
      <c r="A17" s="6">
        <v>22752.29</v>
      </c>
      <c r="B17">
        <v>0.1</v>
      </c>
      <c r="C17">
        <v>1</v>
      </c>
    </row>
    <row r="18" spans="1:3" x14ac:dyDescent="0.25">
      <c r="A18" s="6">
        <v>25072.63</v>
      </c>
      <c r="B18">
        <v>0.1</v>
      </c>
      <c r="C18">
        <v>1</v>
      </c>
    </row>
    <row r="19" spans="1:3" x14ac:dyDescent="0.25">
      <c r="A19" s="6">
        <v>25116.57</v>
      </c>
      <c r="B19">
        <v>0.1</v>
      </c>
      <c r="C19">
        <v>1</v>
      </c>
    </row>
    <row r="20" spans="1:3" x14ac:dyDescent="0.25">
      <c r="A20" s="6">
        <v>25170.560000000001</v>
      </c>
      <c r="B20">
        <v>0.1</v>
      </c>
      <c r="C20">
        <v>1</v>
      </c>
    </row>
    <row r="21" spans="1:3" x14ac:dyDescent="0.25">
      <c r="A21" s="6">
        <v>25197.32</v>
      </c>
      <c r="B21">
        <v>0.1</v>
      </c>
      <c r="C21">
        <v>1</v>
      </c>
    </row>
    <row r="22" spans="1:3" x14ac:dyDescent="0.25">
      <c r="A22" s="6">
        <v>25214.65</v>
      </c>
      <c r="B22">
        <v>0.1</v>
      </c>
      <c r="C22">
        <v>1</v>
      </c>
    </row>
    <row r="23" spans="1:3" x14ac:dyDescent="0.25">
      <c r="A23" s="6">
        <v>25268.84</v>
      </c>
      <c r="B23">
        <v>0.1</v>
      </c>
      <c r="C23">
        <v>1</v>
      </c>
    </row>
    <row r="24" spans="1:3" x14ac:dyDescent="0.25">
      <c r="A24" s="6">
        <v>25296.52</v>
      </c>
      <c r="B24">
        <v>0.1</v>
      </c>
      <c r="C24">
        <v>1</v>
      </c>
    </row>
    <row r="25" spans="1:3" x14ac:dyDescent="0.25">
      <c r="A25" s="6">
        <v>25312.99</v>
      </c>
      <c r="B25">
        <v>0.1</v>
      </c>
      <c r="C25">
        <v>1</v>
      </c>
    </row>
    <row r="26" spans="1:3" x14ac:dyDescent="0.25">
      <c r="A26" s="6">
        <v>25396.14</v>
      </c>
      <c r="B26">
        <v>0.1</v>
      </c>
      <c r="C26">
        <v>1</v>
      </c>
    </row>
    <row r="27" spans="1:3" x14ac:dyDescent="0.25">
      <c r="A27" s="6">
        <v>25495.98</v>
      </c>
      <c r="B27">
        <v>0.1</v>
      </c>
      <c r="C27">
        <v>1</v>
      </c>
    </row>
    <row r="28" spans="1:3" x14ac:dyDescent="0.25">
      <c r="A28" s="6">
        <v>25596.03</v>
      </c>
      <c r="B28">
        <v>0.1</v>
      </c>
      <c r="C28">
        <v>1</v>
      </c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9" x14ac:dyDescent="0.25">
      <c r="A33" s="6"/>
    </row>
    <row r="34" spans="1:9" x14ac:dyDescent="0.25">
      <c r="A34" s="6"/>
    </row>
    <row r="35" spans="1:9" x14ac:dyDescent="0.25">
      <c r="A35" s="6"/>
    </row>
    <row r="36" spans="1:9" x14ac:dyDescent="0.25">
      <c r="A36" s="6"/>
    </row>
    <row r="37" spans="1:9" x14ac:dyDescent="0.25">
      <c r="A37" s="6"/>
    </row>
    <row r="38" spans="1:9" x14ac:dyDescent="0.25">
      <c r="A38" s="6"/>
    </row>
    <row r="39" spans="1:9" x14ac:dyDescent="0.25">
      <c r="A39" s="6"/>
    </row>
    <row r="40" spans="1:9" x14ac:dyDescent="0.25">
      <c r="A40" s="6"/>
    </row>
    <row r="41" spans="1:9" x14ac:dyDescent="0.25">
      <c r="A41" s="6"/>
    </row>
    <row r="42" spans="1:9" x14ac:dyDescent="0.25">
      <c r="A42" s="6"/>
    </row>
    <row r="43" spans="1:9" x14ac:dyDescent="0.25">
      <c r="A43" s="6"/>
    </row>
    <row r="44" spans="1:9" x14ac:dyDescent="0.25">
      <c r="A44" s="6"/>
    </row>
    <row r="45" spans="1:9" s="9" customFormat="1" x14ac:dyDescent="0.25">
      <c r="A45" s="11" t="s">
        <v>50</v>
      </c>
    </row>
    <row r="46" spans="1:9" x14ac:dyDescent="0.25">
      <c r="A46" s="6"/>
    </row>
    <row r="47" spans="1:9" x14ac:dyDescent="0.25">
      <c r="A47" s="6"/>
      <c r="B47" t="s">
        <v>10</v>
      </c>
      <c r="C47" t="s">
        <v>11</v>
      </c>
      <c r="D47" t="s">
        <v>12</v>
      </c>
      <c r="F47" t="s">
        <v>13</v>
      </c>
      <c r="G47" t="s">
        <v>14</v>
      </c>
      <c r="H47" t="s">
        <v>15</v>
      </c>
      <c r="I47" t="s">
        <v>16</v>
      </c>
    </row>
    <row r="48" spans="1:9" x14ac:dyDescent="0.25">
      <c r="A48" s="6">
        <v>22752.29</v>
      </c>
      <c r="B48" s="6">
        <f>B$60</f>
        <v>25074.209999999992</v>
      </c>
      <c r="C48" s="6">
        <f>$A48-B48</f>
        <v>-2321.919999999991</v>
      </c>
      <c r="D48" s="4">
        <f>C48^2</f>
        <v>5391312.4863999579</v>
      </c>
      <c r="F48">
        <f>INDEX(G$60:H$60,MATCH(I48,G48:H48,0))</f>
        <v>22752.29</v>
      </c>
      <c r="G48" s="6">
        <f>($A48-G$60)^2</f>
        <v>0</v>
      </c>
      <c r="H48" s="6">
        <f>($A48-H$60)^2</f>
        <v>6416107.4189878134</v>
      </c>
      <c r="I48" s="6">
        <f>MIN(G48:H48)</f>
        <v>0</v>
      </c>
    </row>
    <row r="49" spans="1:9" x14ac:dyDescent="0.25">
      <c r="A49" s="6">
        <v>25072.63</v>
      </c>
      <c r="B49" s="6">
        <f t="shared" ref="B49:B59" si="0">B$60</f>
        <v>25074.209999999992</v>
      </c>
      <c r="C49" s="6">
        <f t="shared" ref="C49:C59" si="1">$A49-B49</f>
        <v>-1.5799999999908323</v>
      </c>
      <c r="D49" s="4">
        <f t="shared" ref="D49:D59" si="2">C49^2</f>
        <v>2.4963999999710302</v>
      </c>
      <c r="F49">
        <f t="shared" ref="F49:F59" si="3">INDEX(G$60:H$60,MATCH(I49,G49:H49,0))</f>
        <v>25285.293635802329</v>
      </c>
      <c r="G49" s="6">
        <f t="shared" ref="G49:H59" si="4">($A49-G$60)^2</f>
        <v>5383977.7156000007</v>
      </c>
      <c r="H49" s="6">
        <f t="shared" si="4"/>
        <v>45225.821992665165</v>
      </c>
      <c r="I49" s="6">
        <f t="shared" ref="I49:I59" si="5">MIN(G49:H49)</f>
        <v>45225.821992665165</v>
      </c>
    </row>
    <row r="50" spans="1:9" x14ac:dyDescent="0.25">
      <c r="A50" s="6">
        <v>25116.57</v>
      </c>
      <c r="B50" s="6">
        <f t="shared" si="0"/>
        <v>25074.209999999992</v>
      </c>
      <c r="C50" s="6">
        <f t="shared" si="1"/>
        <v>42.360000000007858</v>
      </c>
      <c r="D50" s="4">
        <f t="shared" si="2"/>
        <v>1794.3696000006657</v>
      </c>
      <c r="F50">
        <f t="shared" si="3"/>
        <v>25285.293635802329</v>
      </c>
      <c r="G50" s="6">
        <f t="shared" si="4"/>
        <v>5589819.9183999943</v>
      </c>
      <c r="H50" s="6">
        <f t="shared" si="4"/>
        <v>28467.665278357032</v>
      </c>
      <c r="I50" s="6">
        <f t="shared" si="5"/>
        <v>28467.665278357032</v>
      </c>
    </row>
    <row r="51" spans="1:9" x14ac:dyDescent="0.25">
      <c r="A51" s="6">
        <v>25170.560000000001</v>
      </c>
      <c r="B51" s="6">
        <f t="shared" si="0"/>
        <v>25074.209999999992</v>
      </c>
      <c r="C51" s="6">
        <f t="shared" si="1"/>
        <v>96.350000000009459</v>
      </c>
      <c r="D51" s="4">
        <f t="shared" si="2"/>
        <v>9283.3225000018228</v>
      </c>
      <c r="F51">
        <f t="shared" si="3"/>
        <v>25285.293635802329</v>
      </c>
      <c r="G51" s="6">
        <f t="shared" si="4"/>
        <v>5848029.7929000026</v>
      </c>
      <c r="H51" s="6">
        <f t="shared" si="4"/>
        <v>13163.807184421155</v>
      </c>
      <c r="I51" s="6">
        <f t="shared" si="5"/>
        <v>13163.807184421155</v>
      </c>
    </row>
    <row r="52" spans="1:9" x14ac:dyDescent="0.25">
      <c r="A52" s="6">
        <v>25197.32</v>
      </c>
      <c r="B52" s="6">
        <f t="shared" si="0"/>
        <v>25074.209999999992</v>
      </c>
      <c r="C52" s="6">
        <f t="shared" si="1"/>
        <v>123.11000000000786</v>
      </c>
      <c r="D52" s="4">
        <f t="shared" si="2"/>
        <v>15156.072100001935</v>
      </c>
      <c r="F52">
        <f t="shared" si="3"/>
        <v>25285.293635802329</v>
      </c>
      <c r="G52" s="6">
        <f t="shared" si="4"/>
        <v>5978171.700899994</v>
      </c>
      <c r="H52" s="6">
        <f t="shared" si="4"/>
        <v>7739.3605962808624</v>
      </c>
      <c r="I52" s="6">
        <f t="shared" si="5"/>
        <v>7739.3605962808624</v>
      </c>
    </row>
    <row r="53" spans="1:9" x14ac:dyDescent="0.25">
      <c r="A53" s="6">
        <v>25214.65</v>
      </c>
      <c r="B53" s="6">
        <f t="shared" si="0"/>
        <v>25074.209999999992</v>
      </c>
      <c r="C53" s="6">
        <f t="shared" si="1"/>
        <v>140.4400000000096</v>
      </c>
      <c r="D53" s="4">
        <f t="shared" si="2"/>
        <v>19723.393600002699</v>
      </c>
      <c r="F53">
        <f t="shared" si="3"/>
        <v>25285.293635802329</v>
      </c>
      <c r="G53" s="6">
        <f t="shared" si="4"/>
        <v>6063216.769600003</v>
      </c>
      <c r="H53" s="6">
        <f t="shared" si="4"/>
        <v>4990.5232793718851</v>
      </c>
      <c r="I53" s="6">
        <f t="shared" si="5"/>
        <v>4990.5232793718851</v>
      </c>
    </row>
    <row r="54" spans="1:9" x14ac:dyDescent="0.25">
      <c r="A54" s="6">
        <v>25268.84</v>
      </c>
      <c r="B54" s="6">
        <f t="shared" si="0"/>
        <v>25074.209999999992</v>
      </c>
      <c r="C54" s="6">
        <f t="shared" si="1"/>
        <v>194.63000000000829</v>
      </c>
      <c r="D54" s="4">
        <f t="shared" si="2"/>
        <v>37880.836900003225</v>
      </c>
      <c r="F54">
        <f t="shared" si="3"/>
        <v>25285.293635802329</v>
      </c>
      <c r="G54" s="6">
        <f t="shared" si="4"/>
        <v>6333023.9024999961</v>
      </c>
      <c r="H54" s="6">
        <f t="shared" si="4"/>
        <v>270.72213111567578</v>
      </c>
      <c r="I54" s="6">
        <f t="shared" si="5"/>
        <v>270.72213111567578</v>
      </c>
    </row>
    <row r="55" spans="1:9" x14ac:dyDescent="0.25">
      <c r="A55" s="6">
        <v>25296.52</v>
      </c>
      <c r="B55" s="6">
        <f t="shared" si="0"/>
        <v>25074.209999999992</v>
      </c>
      <c r="C55" s="6">
        <f t="shared" si="1"/>
        <v>222.31000000000859</v>
      </c>
      <c r="D55" s="4">
        <f t="shared" si="2"/>
        <v>49421.736100003814</v>
      </c>
      <c r="F55">
        <f t="shared" si="3"/>
        <v>25285.293635802329</v>
      </c>
      <c r="G55" s="6">
        <f t="shared" si="4"/>
        <v>6473106.2928999979</v>
      </c>
      <c r="H55" s="6">
        <f t="shared" si="4"/>
        <v>126.03125309876047</v>
      </c>
      <c r="I55" s="6">
        <f t="shared" si="5"/>
        <v>126.03125309876047</v>
      </c>
    </row>
    <row r="56" spans="1:9" x14ac:dyDescent="0.25">
      <c r="A56" s="6">
        <v>25312.99</v>
      </c>
      <c r="B56" s="6">
        <f t="shared" si="0"/>
        <v>25074.209999999992</v>
      </c>
      <c r="C56" s="6">
        <f t="shared" si="1"/>
        <v>238.78000000000975</v>
      </c>
      <c r="D56" s="4">
        <f t="shared" si="2"/>
        <v>57015.888400004653</v>
      </c>
      <c r="F56">
        <f t="shared" si="3"/>
        <v>25285.293635802329</v>
      </c>
      <c r="G56" s="6">
        <f t="shared" si="4"/>
        <v>6557184.4900000039</v>
      </c>
      <c r="H56" s="6">
        <f t="shared" si="4"/>
        <v>767.08858977012414</v>
      </c>
      <c r="I56" s="6">
        <f t="shared" si="5"/>
        <v>767.08858977012414</v>
      </c>
    </row>
    <row r="57" spans="1:9" x14ac:dyDescent="0.25">
      <c r="A57" s="6">
        <v>25396.14</v>
      </c>
      <c r="B57" s="6">
        <f t="shared" si="0"/>
        <v>25074.209999999992</v>
      </c>
      <c r="C57" s="6">
        <f t="shared" si="1"/>
        <v>321.93000000000757</v>
      </c>
      <c r="D57" s="4">
        <f t="shared" si="2"/>
        <v>103638.92490000487</v>
      </c>
      <c r="F57">
        <f t="shared" si="3"/>
        <v>25285.293635802329</v>
      </c>
      <c r="G57" s="6">
        <f t="shared" si="4"/>
        <v>6989942.8224999923</v>
      </c>
      <c r="H57" s="6">
        <f t="shared" si="4"/>
        <v>12286.916455842604</v>
      </c>
      <c r="I57" s="6">
        <f t="shared" si="5"/>
        <v>12286.916455842604</v>
      </c>
    </row>
    <row r="58" spans="1:9" x14ac:dyDescent="0.25">
      <c r="A58" s="6">
        <v>25495.98</v>
      </c>
      <c r="B58" s="6">
        <f t="shared" si="0"/>
        <v>25074.209999999992</v>
      </c>
      <c r="C58" s="6">
        <f t="shared" si="1"/>
        <v>421.77000000000771</v>
      </c>
      <c r="D58" s="4">
        <f t="shared" si="2"/>
        <v>177889.9329000065</v>
      </c>
      <c r="F58">
        <f t="shared" si="3"/>
        <v>25285.293635802329</v>
      </c>
      <c r="G58" s="6">
        <f t="shared" si="4"/>
        <v>7527834.816099993</v>
      </c>
      <c r="H58" s="6">
        <f t="shared" si="4"/>
        <v>44388.744058833508</v>
      </c>
      <c r="I58" s="6">
        <f t="shared" si="5"/>
        <v>44388.744058833508</v>
      </c>
    </row>
    <row r="59" spans="1:9" x14ac:dyDescent="0.25">
      <c r="A59" s="6">
        <v>25596.03</v>
      </c>
      <c r="B59" s="6">
        <f t="shared" si="0"/>
        <v>25074.209999999992</v>
      </c>
      <c r="C59" s="6">
        <f t="shared" si="1"/>
        <v>521.82000000000698</v>
      </c>
      <c r="D59" s="4">
        <f t="shared" si="2"/>
        <v>272296.11240000732</v>
      </c>
      <c r="F59">
        <f t="shared" si="3"/>
        <v>25285.293635802329</v>
      </c>
      <c r="G59" s="6">
        <f t="shared" si="4"/>
        <v>8086857.1875999887</v>
      </c>
      <c r="H59" s="6">
        <f t="shared" si="4"/>
        <v>96557.088034786953</v>
      </c>
      <c r="I59" s="6">
        <f t="shared" si="5"/>
        <v>96557.088034786953</v>
      </c>
    </row>
    <row r="60" spans="1:9" x14ac:dyDescent="0.25">
      <c r="B60" s="6">
        <f>AVERAGE(A48:A59)</f>
        <v>25074.209999999992</v>
      </c>
      <c r="D60" s="4">
        <f>SUM(D48:D59)</f>
        <v>6135415.5721999956</v>
      </c>
      <c r="G60">
        <v>22752.29</v>
      </c>
      <c r="H60">
        <v>25285.293635802329</v>
      </c>
      <c r="I60" s="6">
        <f>SUM(I48:I59)</f>
        <v>253983.76885454371</v>
      </c>
    </row>
    <row r="61" spans="1:9" x14ac:dyDescent="0.25">
      <c r="G61" s="6">
        <f>H60-G60</f>
        <v>2533.0036358023281</v>
      </c>
    </row>
    <row r="62" spans="1:9" x14ac:dyDescent="0.25">
      <c r="G62" s="6"/>
    </row>
    <row r="63" spans="1:9" s="9" customFormat="1" x14ac:dyDescent="0.25">
      <c r="A63" s="9" t="s">
        <v>51</v>
      </c>
      <c r="G63" s="11"/>
    </row>
    <row r="66" spans="1:2" x14ac:dyDescent="0.25">
      <c r="A66" s="6">
        <v>22752.29</v>
      </c>
      <c r="B66">
        <v>0</v>
      </c>
    </row>
    <row r="67" spans="1:2" x14ac:dyDescent="0.25">
      <c r="A67" s="6">
        <v>25072.63</v>
      </c>
      <c r="B67">
        <v>0</v>
      </c>
    </row>
    <row r="68" spans="1:2" x14ac:dyDescent="0.25">
      <c r="A68" s="6">
        <v>25116.57</v>
      </c>
      <c r="B68">
        <v>0</v>
      </c>
    </row>
    <row r="69" spans="1:2" x14ac:dyDescent="0.25">
      <c r="A69" s="6">
        <v>25170.560000000001</v>
      </c>
      <c r="B69">
        <v>0</v>
      </c>
    </row>
    <row r="70" spans="1:2" x14ac:dyDescent="0.25">
      <c r="A70" s="6">
        <v>25197.32</v>
      </c>
      <c r="B70">
        <v>0</v>
      </c>
    </row>
    <row r="71" spans="1:2" x14ac:dyDescent="0.25">
      <c r="A71" s="6">
        <v>25214.65</v>
      </c>
      <c r="B71">
        <v>0</v>
      </c>
    </row>
    <row r="72" spans="1:2" x14ac:dyDescent="0.25">
      <c r="A72" s="6">
        <v>25268.84</v>
      </c>
      <c r="B72">
        <v>0</v>
      </c>
    </row>
    <row r="73" spans="1:2" x14ac:dyDescent="0.25">
      <c r="A73" s="6">
        <v>25296.52</v>
      </c>
      <c r="B73">
        <v>0</v>
      </c>
    </row>
    <row r="74" spans="1:2" x14ac:dyDescent="0.25">
      <c r="A74" s="6">
        <v>25312.99</v>
      </c>
      <c r="B74">
        <v>0</v>
      </c>
    </row>
    <row r="75" spans="1:2" x14ac:dyDescent="0.25">
      <c r="A75" s="6">
        <v>25396.14</v>
      </c>
      <c r="B75">
        <v>0</v>
      </c>
    </row>
    <row r="76" spans="1:2" x14ac:dyDescent="0.25">
      <c r="A76" s="6">
        <v>25495.98</v>
      </c>
      <c r="B76">
        <v>0</v>
      </c>
    </row>
    <row r="77" spans="1:2" x14ac:dyDescent="0.25">
      <c r="A77" s="6">
        <v>25596.03</v>
      </c>
      <c r="B77">
        <v>0</v>
      </c>
    </row>
    <row r="78" spans="1:2" x14ac:dyDescent="0.25">
      <c r="A78">
        <v>25074.209999999992</v>
      </c>
      <c r="B78">
        <v>1</v>
      </c>
    </row>
    <row r="79" spans="1:2" x14ac:dyDescent="0.25">
      <c r="A79">
        <v>22752.29</v>
      </c>
      <c r="B79">
        <v>2</v>
      </c>
    </row>
    <row r="80" spans="1:2" x14ac:dyDescent="0.25">
      <c r="A80">
        <v>25285.293636363636</v>
      </c>
      <c r="B80">
        <v>2</v>
      </c>
    </row>
    <row r="83" spans="1:4" x14ac:dyDescent="0.25">
      <c r="C83" t="s">
        <v>17</v>
      </c>
      <c r="D83" t="s">
        <v>47</v>
      </c>
    </row>
    <row r="84" spans="1:4" x14ac:dyDescent="0.25">
      <c r="A84" s="6">
        <v>22752.29</v>
      </c>
      <c r="B84">
        <v>2533.0036358023281</v>
      </c>
      <c r="C84">
        <f>A84/B$84</f>
        <v>8.9823361002769424</v>
      </c>
      <c r="D84">
        <f>A84/2650</f>
        <v>8.5857698113207555</v>
      </c>
    </row>
    <row r="85" spans="1:4" x14ac:dyDescent="0.25">
      <c r="A85">
        <v>25285.293636363636</v>
      </c>
      <c r="C85">
        <f>A85/B$84</f>
        <v>9.9823361004985411</v>
      </c>
      <c r="D85">
        <f>A85/2650</f>
        <v>9.5416202401372221</v>
      </c>
    </row>
    <row r="87" spans="1:4" x14ac:dyDescent="0.25">
      <c r="A87" t="s">
        <v>46</v>
      </c>
      <c r="B87" s="6">
        <f>A77-A66</f>
        <v>2843.739999999998</v>
      </c>
      <c r="C87">
        <f>A66/B87</f>
        <v>8.0008334095240841</v>
      </c>
    </row>
    <row r="88" spans="1:4" x14ac:dyDescent="0.25">
      <c r="C88">
        <f>A77/B87</f>
        <v>9.0008334095240841</v>
      </c>
    </row>
    <row r="95" spans="1:4" s="9" customFormat="1" x14ac:dyDescent="0.25">
      <c r="A95" s="9" t="s">
        <v>52</v>
      </c>
    </row>
    <row r="97" spans="1:6" x14ac:dyDescent="0.25">
      <c r="B97" t="s">
        <v>18</v>
      </c>
      <c r="C97" t="s">
        <v>19</v>
      </c>
      <c r="D97" t="s">
        <v>20</v>
      </c>
    </row>
    <row r="98" spans="1:6" x14ac:dyDescent="0.25">
      <c r="A98" s="6">
        <v>22752.29</v>
      </c>
      <c r="B98">
        <v>7</v>
      </c>
      <c r="C98">
        <f>B98+1</f>
        <v>8</v>
      </c>
      <c r="D98">
        <f>A98/C98</f>
        <v>2844.0362500000001</v>
      </c>
      <c r="E98">
        <v>0</v>
      </c>
      <c r="F98">
        <v>1</v>
      </c>
    </row>
    <row r="99" spans="1:6" x14ac:dyDescent="0.25">
      <c r="A99" s="6">
        <v>25072.63</v>
      </c>
      <c r="B99">
        <v>8</v>
      </c>
      <c r="C99">
        <f t="shared" ref="C99:C109" si="6">B99+1</f>
        <v>9</v>
      </c>
      <c r="D99">
        <f t="shared" ref="D99:D109" si="7">A99/C99</f>
        <v>2785.847777777778</v>
      </c>
      <c r="E99">
        <v>0</v>
      </c>
      <c r="F99">
        <v>3</v>
      </c>
    </row>
    <row r="100" spans="1:6" x14ac:dyDescent="0.25">
      <c r="A100" s="6">
        <v>25116.57</v>
      </c>
      <c r="B100">
        <v>8</v>
      </c>
      <c r="C100">
        <f t="shared" si="6"/>
        <v>9</v>
      </c>
      <c r="D100">
        <f t="shared" si="7"/>
        <v>2790.73</v>
      </c>
      <c r="E100">
        <v>0</v>
      </c>
      <c r="F100">
        <v>2</v>
      </c>
    </row>
    <row r="101" spans="1:6" x14ac:dyDescent="0.25">
      <c r="A101" s="6">
        <v>25170.560000000001</v>
      </c>
      <c r="B101">
        <v>8</v>
      </c>
      <c r="C101">
        <f t="shared" si="6"/>
        <v>9</v>
      </c>
      <c r="D101">
        <f t="shared" si="7"/>
        <v>2796.7288888888888</v>
      </c>
      <c r="E101">
        <v>0</v>
      </c>
      <c r="F101">
        <v>3</v>
      </c>
    </row>
    <row r="102" spans="1:6" x14ac:dyDescent="0.25">
      <c r="A102" s="6">
        <v>25197.32</v>
      </c>
      <c r="B102">
        <v>8</v>
      </c>
      <c r="C102">
        <f t="shared" si="6"/>
        <v>9</v>
      </c>
      <c r="D102">
        <f t="shared" si="7"/>
        <v>2799.7022222222222</v>
      </c>
      <c r="E102">
        <v>0</v>
      </c>
      <c r="F102">
        <v>1</v>
      </c>
    </row>
    <row r="103" spans="1:6" x14ac:dyDescent="0.25">
      <c r="A103" s="6">
        <v>25214.65</v>
      </c>
      <c r="B103">
        <v>8</v>
      </c>
      <c r="C103">
        <f t="shared" si="6"/>
        <v>9</v>
      </c>
      <c r="D103">
        <f t="shared" si="7"/>
        <v>2801.6277777777777</v>
      </c>
      <c r="E103">
        <v>0</v>
      </c>
      <c r="F103">
        <v>2</v>
      </c>
    </row>
    <row r="104" spans="1:6" x14ac:dyDescent="0.25">
      <c r="A104" s="6">
        <v>25268.84</v>
      </c>
      <c r="B104">
        <v>8</v>
      </c>
      <c r="C104">
        <f t="shared" si="6"/>
        <v>9</v>
      </c>
      <c r="D104">
        <f t="shared" si="7"/>
        <v>2807.6488888888889</v>
      </c>
      <c r="E104">
        <v>0</v>
      </c>
      <c r="F104">
        <v>3</v>
      </c>
    </row>
    <row r="105" spans="1:6" x14ac:dyDescent="0.25">
      <c r="A105" s="6">
        <v>25296.52</v>
      </c>
      <c r="B105">
        <v>8</v>
      </c>
      <c r="C105">
        <f t="shared" si="6"/>
        <v>9</v>
      </c>
      <c r="D105">
        <f t="shared" si="7"/>
        <v>2810.7244444444445</v>
      </c>
      <c r="E105">
        <v>0</v>
      </c>
      <c r="F105">
        <v>1</v>
      </c>
    </row>
    <row r="106" spans="1:6" x14ac:dyDescent="0.25">
      <c r="A106" s="6">
        <v>25312.99</v>
      </c>
      <c r="B106">
        <v>8</v>
      </c>
      <c r="C106">
        <f t="shared" si="6"/>
        <v>9</v>
      </c>
      <c r="D106">
        <f t="shared" si="7"/>
        <v>2812.5544444444445</v>
      </c>
      <c r="E106">
        <v>0</v>
      </c>
      <c r="F106">
        <v>2</v>
      </c>
    </row>
    <row r="107" spans="1:6" x14ac:dyDescent="0.25">
      <c r="A107" s="6">
        <v>25396.14</v>
      </c>
      <c r="B107">
        <v>8</v>
      </c>
      <c r="C107">
        <f t="shared" si="6"/>
        <v>9</v>
      </c>
      <c r="D107">
        <f t="shared" si="7"/>
        <v>2821.7933333333331</v>
      </c>
      <c r="E107">
        <v>0</v>
      </c>
      <c r="F107">
        <v>1</v>
      </c>
    </row>
    <row r="108" spans="1:6" x14ac:dyDescent="0.25">
      <c r="A108" s="6">
        <v>25495.98</v>
      </c>
      <c r="B108">
        <v>8</v>
      </c>
      <c r="C108">
        <f t="shared" si="6"/>
        <v>9</v>
      </c>
      <c r="D108">
        <f t="shared" si="7"/>
        <v>2832.8866666666668</v>
      </c>
      <c r="E108">
        <v>0</v>
      </c>
      <c r="F108">
        <v>1</v>
      </c>
    </row>
    <row r="109" spans="1:6" x14ac:dyDescent="0.25">
      <c r="A109" s="6">
        <v>25596.03</v>
      </c>
      <c r="B109">
        <v>8</v>
      </c>
      <c r="C109">
        <f t="shared" si="6"/>
        <v>9</v>
      </c>
      <c r="D109">
        <f t="shared" si="7"/>
        <v>2844.0033333333331</v>
      </c>
      <c r="E109">
        <v>0</v>
      </c>
      <c r="F109">
        <v>1</v>
      </c>
    </row>
    <row r="111" spans="1:6" x14ac:dyDescent="0.25">
      <c r="A111" t="s">
        <v>21</v>
      </c>
    </row>
    <row r="113" spans="1:13" x14ac:dyDescent="0.25">
      <c r="A113" s="6">
        <v>22752.29</v>
      </c>
      <c r="B113">
        <v>8</v>
      </c>
      <c r="C113">
        <f>B113+1</f>
        <v>9</v>
      </c>
      <c r="D113">
        <f>A113/C113</f>
        <v>2528.0322222222221</v>
      </c>
      <c r="E113">
        <v>0</v>
      </c>
      <c r="F113">
        <v>1</v>
      </c>
    </row>
    <row r="114" spans="1:13" x14ac:dyDescent="0.25">
      <c r="A114" s="6">
        <v>25072.63</v>
      </c>
      <c r="B114">
        <v>9</v>
      </c>
      <c r="C114">
        <f t="shared" ref="C114:C124" si="8">B114+1</f>
        <v>10</v>
      </c>
      <c r="D114">
        <f t="shared" ref="D114:D124" si="9">A114/C114</f>
        <v>2507.2629999999999</v>
      </c>
      <c r="E114">
        <v>0</v>
      </c>
      <c r="F114">
        <v>3</v>
      </c>
    </row>
    <row r="115" spans="1:13" x14ac:dyDescent="0.25">
      <c r="A115" s="6">
        <v>25116.57</v>
      </c>
      <c r="B115">
        <v>9</v>
      </c>
      <c r="C115">
        <f t="shared" si="8"/>
        <v>10</v>
      </c>
      <c r="D115">
        <f t="shared" si="9"/>
        <v>2511.6570000000002</v>
      </c>
      <c r="E115">
        <v>0</v>
      </c>
      <c r="F115">
        <v>2</v>
      </c>
    </row>
    <row r="116" spans="1:13" x14ac:dyDescent="0.25">
      <c r="A116" s="6">
        <v>25170.560000000001</v>
      </c>
      <c r="B116">
        <v>9</v>
      </c>
      <c r="C116">
        <f t="shared" si="8"/>
        <v>10</v>
      </c>
      <c r="D116">
        <f t="shared" si="9"/>
        <v>2517.056</v>
      </c>
      <c r="E116">
        <v>0</v>
      </c>
      <c r="F116">
        <v>3</v>
      </c>
    </row>
    <row r="117" spans="1:13" x14ac:dyDescent="0.25">
      <c r="A117" s="6">
        <v>25197.32</v>
      </c>
      <c r="B117">
        <v>9</v>
      </c>
      <c r="C117">
        <f t="shared" si="8"/>
        <v>10</v>
      </c>
      <c r="D117">
        <f t="shared" si="9"/>
        <v>2519.732</v>
      </c>
      <c r="E117">
        <v>0</v>
      </c>
      <c r="F117">
        <v>1</v>
      </c>
    </row>
    <row r="118" spans="1:13" x14ac:dyDescent="0.25">
      <c r="A118" s="6">
        <v>25214.65</v>
      </c>
      <c r="B118">
        <v>9</v>
      </c>
      <c r="C118">
        <f t="shared" si="8"/>
        <v>10</v>
      </c>
      <c r="D118">
        <f t="shared" si="9"/>
        <v>2521.4650000000001</v>
      </c>
      <c r="E118">
        <v>0</v>
      </c>
      <c r="F118">
        <v>2</v>
      </c>
    </row>
    <row r="119" spans="1:13" x14ac:dyDescent="0.25">
      <c r="A119" s="6">
        <v>25268.84</v>
      </c>
      <c r="B119">
        <v>9</v>
      </c>
      <c r="C119">
        <f t="shared" si="8"/>
        <v>10</v>
      </c>
      <c r="D119">
        <f t="shared" si="9"/>
        <v>2526.884</v>
      </c>
      <c r="E119">
        <v>0</v>
      </c>
      <c r="F119">
        <v>3</v>
      </c>
    </row>
    <row r="120" spans="1:13" x14ac:dyDescent="0.25">
      <c r="A120" s="6">
        <v>25296.52</v>
      </c>
      <c r="B120">
        <v>9</v>
      </c>
      <c r="C120">
        <f t="shared" si="8"/>
        <v>10</v>
      </c>
      <c r="D120">
        <f t="shared" si="9"/>
        <v>2529.652</v>
      </c>
      <c r="E120">
        <v>0</v>
      </c>
      <c r="F120">
        <v>1</v>
      </c>
    </row>
    <row r="121" spans="1:13" x14ac:dyDescent="0.25">
      <c r="A121" s="6">
        <v>25312.99</v>
      </c>
      <c r="B121">
        <v>9</v>
      </c>
      <c r="C121">
        <f t="shared" si="8"/>
        <v>10</v>
      </c>
      <c r="D121">
        <f t="shared" si="9"/>
        <v>2531.299</v>
      </c>
      <c r="E121">
        <v>0</v>
      </c>
      <c r="F121">
        <v>2</v>
      </c>
    </row>
    <row r="122" spans="1:13" x14ac:dyDescent="0.25">
      <c r="A122" s="6">
        <v>25396.14</v>
      </c>
      <c r="B122">
        <v>9</v>
      </c>
      <c r="C122">
        <f t="shared" si="8"/>
        <v>10</v>
      </c>
      <c r="D122">
        <f t="shared" si="9"/>
        <v>2539.614</v>
      </c>
      <c r="E122">
        <v>0</v>
      </c>
      <c r="F122">
        <v>1</v>
      </c>
    </row>
    <row r="123" spans="1:13" x14ac:dyDescent="0.25">
      <c r="A123" s="6">
        <v>25495.98</v>
      </c>
      <c r="B123">
        <v>9</v>
      </c>
      <c r="C123">
        <f t="shared" si="8"/>
        <v>10</v>
      </c>
      <c r="D123">
        <f t="shared" si="9"/>
        <v>2549.598</v>
      </c>
      <c r="E123">
        <v>0</v>
      </c>
      <c r="F123">
        <v>1</v>
      </c>
    </row>
    <row r="124" spans="1:13" x14ac:dyDescent="0.25">
      <c r="A124" s="6">
        <v>25596.03</v>
      </c>
      <c r="B124">
        <v>9</v>
      </c>
      <c r="C124">
        <f t="shared" si="8"/>
        <v>10</v>
      </c>
      <c r="D124">
        <f t="shared" si="9"/>
        <v>2559.6030000000001</v>
      </c>
      <c r="E124">
        <v>0</v>
      </c>
      <c r="F124">
        <v>1</v>
      </c>
    </row>
    <row r="126" spans="1:13" s="9" customFormat="1" x14ac:dyDescent="0.25">
      <c r="A126" s="9" t="s">
        <v>53</v>
      </c>
    </row>
    <row r="128" spans="1:13" x14ac:dyDescent="0.25">
      <c r="A128" t="s">
        <v>20</v>
      </c>
      <c r="B128" t="s">
        <v>22</v>
      </c>
      <c r="C128" t="s">
        <v>23</v>
      </c>
      <c r="D128" t="s">
        <v>10</v>
      </c>
      <c r="E128" t="s">
        <v>13</v>
      </c>
      <c r="F128" t="s">
        <v>24</v>
      </c>
      <c r="G128" t="s">
        <v>14</v>
      </c>
      <c r="H128" t="s">
        <v>15</v>
      </c>
      <c r="I128" t="s">
        <v>25</v>
      </c>
      <c r="J128" t="s">
        <v>26</v>
      </c>
      <c r="K128" t="s">
        <v>27</v>
      </c>
      <c r="L128" t="s">
        <v>28</v>
      </c>
      <c r="M128" t="s">
        <v>16</v>
      </c>
    </row>
    <row r="129" spans="1:13" x14ac:dyDescent="0.25">
      <c r="A129">
        <v>2844.0362500000001</v>
      </c>
      <c r="B129">
        <v>0</v>
      </c>
      <c r="C129">
        <v>1</v>
      </c>
      <c r="D129">
        <f>D$142-D$143*($B129+0.5)</f>
        <v>2843.9978993054715</v>
      </c>
      <c r="E129">
        <f>E$142-E$143*($B129+0.5)</f>
        <v>2812.549629647749</v>
      </c>
      <c r="F129">
        <f>F$142-F$143*($B129+0.5)</f>
        <v>2807.6424074353863</v>
      </c>
      <c r="G129" s="6">
        <f>$A129-D129</f>
        <v>3.8350694528617169E-2</v>
      </c>
      <c r="H129" s="6">
        <f t="shared" ref="H129:I129" si="10">$A129-E129</f>
        <v>31.486620352251066</v>
      </c>
      <c r="I129" s="6">
        <f t="shared" si="10"/>
        <v>36.393842564613806</v>
      </c>
      <c r="J129" s="6">
        <f>G129^2</f>
        <v>1.4707757708273068E-3</v>
      </c>
      <c r="K129" s="6">
        <f t="shared" ref="K129:L129" si="11">H129^2</f>
        <v>991.40726120679108</v>
      </c>
      <c r="L129" s="6">
        <f t="shared" si="11"/>
        <v>1324.5117766178955</v>
      </c>
      <c r="M129" s="6">
        <f>MIN(J129:L129)</f>
        <v>1.4707757708273068E-3</v>
      </c>
    </row>
    <row r="130" spans="1:13" x14ac:dyDescent="0.25">
      <c r="A130">
        <v>2785.847777777778</v>
      </c>
      <c r="B130">
        <v>2</v>
      </c>
      <c r="C130">
        <v>3</v>
      </c>
      <c r="D130">
        <f t="shared" ref="D130:F140" si="12">D$142-D$143*($B130+0.5)</f>
        <v>2821.8296701387985</v>
      </c>
      <c r="E130">
        <f t="shared" si="12"/>
        <v>2790.7251851675519</v>
      </c>
      <c r="F130">
        <f t="shared" si="12"/>
        <v>2785.8412962855273</v>
      </c>
      <c r="G130" s="6">
        <f t="shared" ref="G130:G140" si="13">$A130-D130</f>
        <v>-35.981892361020527</v>
      </c>
      <c r="H130" s="6">
        <f t="shared" ref="H130:H140" si="14">$A130-E130</f>
        <v>-4.8774073897739072</v>
      </c>
      <c r="I130" s="6">
        <f t="shared" ref="I130:I140" si="15">$A130-F130</f>
        <v>6.4814922507139272E-3</v>
      </c>
      <c r="J130" s="6">
        <f t="shared" ref="J130:J140" si="16">G130^2</f>
        <v>1294.6965778800675</v>
      </c>
      <c r="K130" s="6">
        <f t="shared" ref="K130:K140" si="17">H130^2</f>
        <v>23.78910284582112</v>
      </c>
      <c r="L130" s="6">
        <f t="shared" ref="L130:L140" si="18">I130^2</f>
        <v>4.2009741796064689E-5</v>
      </c>
      <c r="M130" s="6">
        <f t="shared" ref="M130:M140" si="19">MIN(J130:L130)</f>
        <v>4.2009741796064689E-5</v>
      </c>
    </row>
    <row r="131" spans="1:13" x14ac:dyDescent="0.25">
      <c r="A131">
        <v>2790.73</v>
      </c>
      <c r="B131">
        <v>2</v>
      </c>
      <c r="C131">
        <v>2</v>
      </c>
      <c r="D131">
        <f t="shared" si="12"/>
        <v>2821.8296701387985</v>
      </c>
      <c r="E131">
        <f t="shared" si="12"/>
        <v>2790.7251851675519</v>
      </c>
      <c r="F131">
        <f t="shared" si="12"/>
        <v>2785.8412962855273</v>
      </c>
      <c r="G131" s="6">
        <f t="shared" si="13"/>
        <v>-31.099670138798501</v>
      </c>
      <c r="H131" s="6">
        <f t="shared" si="14"/>
        <v>4.8148324481189775E-3</v>
      </c>
      <c r="I131" s="6">
        <f t="shared" si="15"/>
        <v>4.8887037144727401</v>
      </c>
      <c r="J131" s="6">
        <f t="shared" si="16"/>
        <v>967.18948274207514</v>
      </c>
      <c r="K131" s="6">
        <f t="shared" si="17"/>
        <v>2.3182611503459386E-5</v>
      </c>
      <c r="L131" s="6">
        <f t="shared" si="18"/>
        <v>23.899424007899565</v>
      </c>
      <c r="M131" s="6">
        <f t="shared" si="19"/>
        <v>2.3182611503459386E-5</v>
      </c>
    </row>
    <row r="132" spans="1:13" x14ac:dyDescent="0.25">
      <c r="A132">
        <v>2796.7288888888888</v>
      </c>
      <c r="B132">
        <v>1</v>
      </c>
      <c r="C132">
        <v>3</v>
      </c>
      <c r="D132">
        <f t="shared" si="12"/>
        <v>2832.913784722135</v>
      </c>
      <c r="E132">
        <f t="shared" si="12"/>
        <v>2801.6374074076502</v>
      </c>
      <c r="F132">
        <f t="shared" si="12"/>
        <v>2796.7418518604568</v>
      </c>
      <c r="G132" s="6">
        <f t="shared" si="13"/>
        <v>-36.184895833246173</v>
      </c>
      <c r="H132" s="6">
        <f t="shared" si="14"/>
        <v>-4.9085185187614115</v>
      </c>
      <c r="I132" s="6">
        <f t="shared" si="15"/>
        <v>-1.2962971567958448E-2</v>
      </c>
      <c r="J132" s="6">
        <f t="shared" si="16"/>
        <v>1309.3466864628763</v>
      </c>
      <c r="K132" s="6">
        <f t="shared" si="17"/>
        <v>24.093554049023723</v>
      </c>
      <c r="L132" s="6">
        <f t="shared" si="18"/>
        <v>1.6803863187169911E-4</v>
      </c>
      <c r="M132" s="6">
        <f t="shared" si="19"/>
        <v>1.6803863187169911E-4</v>
      </c>
    </row>
    <row r="133" spans="1:13" x14ac:dyDescent="0.25">
      <c r="A133">
        <v>2799.7022222222222</v>
      </c>
      <c r="B133">
        <v>4</v>
      </c>
      <c r="C133">
        <v>1</v>
      </c>
      <c r="D133">
        <f t="shared" si="12"/>
        <v>2799.661440972126</v>
      </c>
      <c r="E133">
        <f t="shared" si="12"/>
        <v>2768.9007406873548</v>
      </c>
      <c r="F133">
        <f t="shared" si="12"/>
        <v>2764.0401851356687</v>
      </c>
      <c r="G133" s="6">
        <f t="shared" si="13"/>
        <v>4.078125009618816E-2</v>
      </c>
      <c r="H133" s="6">
        <f t="shared" si="14"/>
        <v>30.801481534867435</v>
      </c>
      <c r="I133" s="6">
        <f t="shared" si="15"/>
        <v>35.662037086553482</v>
      </c>
      <c r="J133" s="6">
        <f t="shared" si="16"/>
        <v>1.6631103594078468E-3</v>
      </c>
      <c r="K133" s="6">
        <f t="shared" si="17"/>
        <v>948.73126474277956</v>
      </c>
      <c r="L133" s="6">
        <f t="shared" si="18"/>
        <v>1271.780889162716</v>
      </c>
      <c r="M133" s="6">
        <f t="shared" si="19"/>
        <v>1.6631103594078468E-3</v>
      </c>
    </row>
    <row r="134" spans="1:13" x14ac:dyDescent="0.25">
      <c r="A134">
        <v>2801.6277777777777</v>
      </c>
      <c r="B134">
        <v>1</v>
      </c>
      <c r="C134">
        <v>2</v>
      </c>
      <c r="D134">
        <f t="shared" si="12"/>
        <v>2832.913784722135</v>
      </c>
      <c r="E134">
        <f t="shared" si="12"/>
        <v>2801.6374074076502</v>
      </c>
      <c r="F134">
        <f t="shared" si="12"/>
        <v>2796.7418518604568</v>
      </c>
      <c r="G134" s="6">
        <f t="shared" si="13"/>
        <v>-31.286006944357268</v>
      </c>
      <c r="H134" s="6">
        <f t="shared" si="14"/>
        <v>-9.6296298725064844E-3</v>
      </c>
      <c r="I134" s="6">
        <f t="shared" si="15"/>
        <v>4.8859259173209466</v>
      </c>
      <c r="J134" s="6">
        <f t="shared" si="16"/>
        <v>978.81423052237119</v>
      </c>
      <c r="K134" s="6">
        <f t="shared" si="17"/>
        <v>9.2729771481469257E-5</v>
      </c>
      <c r="L134" s="6">
        <f t="shared" si="18"/>
        <v>23.872272069548533</v>
      </c>
      <c r="M134" s="6">
        <f t="shared" si="19"/>
        <v>9.2729771481469257E-5</v>
      </c>
    </row>
    <row r="135" spans="1:13" x14ac:dyDescent="0.25">
      <c r="A135">
        <v>2807.6488888888889</v>
      </c>
      <c r="B135">
        <v>0</v>
      </c>
      <c r="C135">
        <v>3</v>
      </c>
      <c r="D135">
        <f t="shared" si="12"/>
        <v>2843.9978993054715</v>
      </c>
      <c r="E135">
        <f t="shared" si="12"/>
        <v>2812.549629647749</v>
      </c>
      <c r="F135">
        <f t="shared" si="12"/>
        <v>2807.6424074353863</v>
      </c>
      <c r="G135" s="6">
        <f t="shared" si="13"/>
        <v>-36.349010416582587</v>
      </c>
      <c r="H135" s="6">
        <f t="shared" si="14"/>
        <v>-4.9007407588601382</v>
      </c>
      <c r="I135" s="6">
        <f t="shared" si="15"/>
        <v>6.4814535026016529E-3</v>
      </c>
      <c r="J135" s="6">
        <f t="shared" si="16"/>
        <v>1321.2505582648294</v>
      </c>
      <c r="K135" s="6">
        <f t="shared" si="17"/>
        <v>24.017259985553043</v>
      </c>
      <c r="L135" s="6">
        <f t="shared" si="18"/>
        <v>4.2009239506387234E-5</v>
      </c>
      <c r="M135" s="6">
        <f t="shared" si="19"/>
        <v>4.2009239506387234E-5</v>
      </c>
    </row>
    <row r="136" spans="1:13" x14ac:dyDescent="0.25">
      <c r="A136">
        <v>2810.7244444444445</v>
      </c>
      <c r="B136">
        <v>3</v>
      </c>
      <c r="C136">
        <v>1</v>
      </c>
      <c r="D136">
        <f t="shared" si="12"/>
        <v>2810.745555555462</v>
      </c>
      <c r="E136">
        <f t="shared" si="12"/>
        <v>2779.8129629274531</v>
      </c>
      <c r="F136">
        <f t="shared" si="12"/>
        <v>2774.9407407105978</v>
      </c>
      <c r="G136" s="6">
        <f t="shared" si="13"/>
        <v>-2.1111111017489748E-2</v>
      </c>
      <c r="H136" s="6">
        <f t="shared" si="14"/>
        <v>30.911481516991444</v>
      </c>
      <c r="I136" s="6">
        <f t="shared" si="15"/>
        <v>35.783703733846778</v>
      </c>
      <c r="J136" s="6">
        <f t="shared" si="16"/>
        <v>4.4567900839277702E-4</v>
      </c>
      <c r="K136" s="6">
        <f t="shared" si="17"/>
        <v>955.51968957530369</v>
      </c>
      <c r="L136" s="6">
        <f t="shared" si="18"/>
        <v>1280.4734529117197</v>
      </c>
      <c r="M136" s="6">
        <f t="shared" si="19"/>
        <v>4.4567900839277702E-4</v>
      </c>
    </row>
    <row r="137" spans="1:13" x14ac:dyDescent="0.25">
      <c r="A137">
        <v>2812.5544444444445</v>
      </c>
      <c r="B137">
        <v>0</v>
      </c>
      <c r="C137">
        <v>2</v>
      </c>
      <c r="D137">
        <f t="shared" si="12"/>
        <v>2843.9978993054715</v>
      </c>
      <c r="E137">
        <f t="shared" si="12"/>
        <v>2812.549629647749</v>
      </c>
      <c r="F137">
        <f t="shared" si="12"/>
        <v>2807.6424074353863</v>
      </c>
      <c r="G137" s="6">
        <f t="shared" si="13"/>
        <v>-31.443454861027021</v>
      </c>
      <c r="H137" s="6">
        <f t="shared" si="14"/>
        <v>4.8147966954275034E-3</v>
      </c>
      <c r="I137" s="6">
        <f t="shared" si="15"/>
        <v>4.9120370090581673</v>
      </c>
      <c r="J137" s="6">
        <f t="shared" si="16"/>
        <v>988.69085359744383</v>
      </c>
      <c r="K137" s="6">
        <f t="shared" si="17"/>
        <v>2.3182267218299608E-5</v>
      </c>
      <c r="L137" s="6">
        <f t="shared" si="18"/>
        <v>24.128107578357106</v>
      </c>
      <c r="M137" s="6">
        <f t="shared" si="19"/>
        <v>2.3182267218299608E-5</v>
      </c>
    </row>
    <row r="138" spans="1:13" x14ac:dyDescent="0.25">
      <c r="A138">
        <v>2821.7933333333331</v>
      </c>
      <c r="B138">
        <v>2</v>
      </c>
      <c r="C138">
        <v>1</v>
      </c>
      <c r="D138">
        <f t="shared" si="12"/>
        <v>2821.8296701387985</v>
      </c>
      <c r="E138">
        <f t="shared" si="12"/>
        <v>2790.7251851675519</v>
      </c>
      <c r="F138">
        <f t="shared" si="12"/>
        <v>2785.8412962855273</v>
      </c>
      <c r="G138" s="6">
        <f t="shared" si="13"/>
        <v>-3.6336805465452926E-2</v>
      </c>
      <c r="H138" s="6">
        <f t="shared" si="14"/>
        <v>31.068148165781167</v>
      </c>
      <c r="I138" s="6">
        <f t="shared" si="15"/>
        <v>35.952037047805788</v>
      </c>
      <c r="J138" s="6">
        <f t="shared" si="16"/>
        <v>1.3203634314341696E-3</v>
      </c>
      <c r="K138" s="6">
        <f t="shared" si="17"/>
        <v>965.22983045093167</v>
      </c>
      <c r="L138" s="6">
        <f t="shared" si="18"/>
        <v>1292.5489678868</v>
      </c>
      <c r="M138" s="6">
        <f t="shared" si="19"/>
        <v>1.3203634314341696E-3</v>
      </c>
    </row>
    <row r="139" spans="1:13" x14ac:dyDescent="0.25">
      <c r="A139">
        <v>2832.8866666666668</v>
      </c>
      <c r="B139">
        <v>1</v>
      </c>
      <c r="C139">
        <v>1</v>
      </c>
      <c r="D139">
        <f t="shared" si="12"/>
        <v>2832.913784722135</v>
      </c>
      <c r="E139">
        <f t="shared" si="12"/>
        <v>2801.6374074076502</v>
      </c>
      <c r="F139">
        <f t="shared" si="12"/>
        <v>2796.7418518604568</v>
      </c>
      <c r="G139" s="6">
        <f t="shared" si="13"/>
        <v>-2.711805546823598E-2</v>
      </c>
      <c r="H139" s="6">
        <f t="shared" si="14"/>
        <v>31.249259259016526</v>
      </c>
      <c r="I139" s="6">
        <f t="shared" si="15"/>
        <v>36.144814806209979</v>
      </c>
      <c r="J139" s="6">
        <f t="shared" si="16"/>
        <v>7.3538893237832333E-4</v>
      </c>
      <c r="K139" s="6">
        <f t="shared" si="17"/>
        <v>976.51620423723011</v>
      </c>
      <c r="L139" s="6">
        <f t="shared" si="18"/>
        <v>1306.4476373752161</v>
      </c>
      <c r="M139" s="6">
        <f t="shared" si="19"/>
        <v>7.3538893237832333E-4</v>
      </c>
    </row>
    <row r="140" spans="1:13" x14ac:dyDescent="0.25">
      <c r="A140">
        <v>2844.0033333333331</v>
      </c>
      <c r="B140">
        <v>0</v>
      </c>
      <c r="C140">
        <v>1</v>
      </c>
      <c r="D140">
        <f t="shared" si="12"/>
        <v>2843.9978993054715</v>
      </c>
      <c r="E140">
        <f t="shared" si="12"/>
        <v>2812.549629647749</v>
      </c>
      <c r="F140">
        <f t="shared" si="12"/>
        <v>2807.6424074353863</v>
      </c>
      <c r="G140" s="6">
        <f t="shared" si="13"/>
        <v>5.4340278616109572E-3</v>
      </c>
      <c r="H140" s="6">
        <f t="shared" si="14"/>
        <v>31.45370368558406</v>
      </c>
      <c r="I140" s="6">
        <f t="shared" si="15"/>
        <v>36.3609258979468</v>
      </c>
      <c r="J140" s="6">
        <f t="shared" si="16"/>
        <v>2.9528658800764151E-5</v>
      </c>
      <c r="K140" s="6">
        <f t="shared" si="17"/>
        <v>989.33547554052427</v>
      </c>
      <c r="L140" s="6">
        <f t="shared" si="18"/>
        <v>1322.1169321559782</v>
      </c>
      <c r="M140" s="6">
        <f t="shared" si="19"/>
        <v>2.9528658800764151E-5</v>
      </c>
    </row>
    <row r="141" spans="1:13" x14ac:dyDescent="0.25">
      <c r="M141" s="6">
        <f>SUM(M129:M140)</f>
        <v>6.0559984246185668E-3</v>
      </c>
    </row>
    <row r="142" spans="1:13" ht="18" x14ac:dyDescent="0.35">
      <c r="A142" t="s">
        <v>29</v>
      </c>
      <c r="D142">
        <v>2849.5399565971397</v>
      </c>
      <c r="E142">
        <v>2818.0057407677982</v>
      </c>
      <c r="F142">
        <v>2813.0926852228508</v>
      </c>
    </row>
    <row r="143" spans="1:13" ht="18" x14ac:dyDescent="0.35">
      <c r="A143" t="s">
        <v>30</v>
      </c>
      <c r="D143">
        <v>11.084114583336437</v>
      </c>
      <c r="E143">
        <v>10.912222240098572</v>
      </c>
      <c r="F143">
        <v>10.900555574929388</v>
      </c>
    </row>
    <row r="144" spans="1:13" x14ac:dyDescent="0.25">
      <c r="A144" t="s">
        <v>45</v>
      </c>
      <c r="D144">
        <f>D142/D142</f>
        <v>1</v>
      </c>
      <c r="E144">
        <f>D142/E142</f>
        <v>1.0111902596127251</v>
      </c>
      <c r="F144">
        <f>D142/F142</f>
        <v>1.0129562995082764</v>
      </c>
    </row>
    <row r="146" spans="1:19" s="9" customFormat="1" x14ac:dyDescent="0.25">
      <c r="A146" s="9" t="s">
        <v>54</v>
      </c>
    </row>
    <row r="148" spans="1:19" ht="17.25" x14ac:dyDescent="0.25">
      <c r="A148" t="s">
        <v>38</v>
      </c>
    </row>
    <row r="149" spans="1:19" x14ac:dyDescent="0.25">
      <c r="A149" t="s">
        <v>31</v>
      </c>
      <c r="B149" t="s">
        <v>18</v>
      </c>
      <c r="C149" t="s">
        <v>19</v>
      </c>
      <c r="D149" t="s">
        <v>22</v>
      </c>
      <c r="E149" t="s">
        <v>10</v>
      </c>
      <c r="I149" t="s">
        <v>13</v>
      </c>
      <c r="M149" t="s">
        <v>24</v>
      </c>
      <c r="Q149" t="s">
        <v>44</v>
      </c>
    </row>
    <row r="150" spans="1:19" x14ac:dyDescent="0.25">
      <c r="A150" s="6">
        <v>22752.29</v>
      </c>
      <c r="B150">
        <v>7</v>
      </c>
      <c r="C150">
        <f>B150+1</f>
        <v>8</v>
      </c>
      <c r="D150" s="8">
        <v>0</v>
      </c>
      <c r="E150">
        <f>2*(E$157-E$158*($D150+0.5))*$C150</f>
        <v>22751.956984662796</v>
      </c>
      <c r="F150" s="6">
        <f>E150-$A150</f>
        <v>-0.33301533720441512</v>
      </c>
      <c r="G150" s="6">
        <f>F150^2</f>
        <v>0.11089921481337031</v>
      </c>
      <c r="I150">
        <f t="shared" ref="I150:I155" si="20">2*(I$157-I$158*($D150+0.5)+I$159*($D150+0.5)^2)*$C150</f>
        <v>22752.144644062832</v>
      </c>
      <c r="J150" s="6">
        <f>I150-$A150</f>
        <v>-0.14535593716937001</v>
      </c>
      <c r="K150" s="6">
        <f>J150^2</f>
        <v>2.1128348470385843E-2</v>
      </c>
      <c r="M150">
        <f t="shared" ref="M150:M155" si="21">2*(M$157-M$158*($D150+0.5))*$C150+4*M$160*($B150*$C150)^3</f>
        <v>22752.289999744633</v>
      </c>
      <c r="N150" s="6">
        <f>M150-$A150</f>
        <v>-2.5536792236380279E-7</v>
      </c>
      <c r="O150" s="6">
        <f>N150^2</f>
        <v>6.5212775772405209E-14</v>
      </c>
      <c r="Q150">
        <f t="shared" ref="Q150:Q155" si="22">2*(Q$157-Q$158*($D150+0.5)+Q$159*($D150+0.5)^2)*$C150+4*Q$160*($B150*$C150)^3</f>
        <v>22752.28999997678</v>
      </c>
      <c r="R150" s="6">
        <f>Q150-$A150</f>
        <v>-2.3221218725666404E-8</v>
      </c>
      <c r="S150" s="6">
        <f>R150^2</f>
        <v>5.3922499910524004E-16</v>
      </c>
    </row>
    <row r="151" spans="1:19" x14ac:dyDescent="0.25">
      <c r="A151" s="6">
        <v>25197.32</v>
      </c>
      <c r="B151">
        <v>8</v>
      </c>
      <c r="C151">
        <f t="shared" ref="C151:C155" si="23">B151+1</f>
        <v>9</v>
      </c>
      <c r="D151">
        <v>4</v>
      </c>
      <c r="E151">
        <f t="shared" ref="E151:E155" si="24">2*(E$157-E$158*($D151+0.5))*$C151</f>
        <v>25196.962797509899</v>
      </c>
      <c r="F151" s="6">
        <f t="shared" ref="F151:F155" si="25">E151-$A151</f>
        <v>-0.35720249010046246</v>
      </c>
      <c r="G151" s="6">
        <f t="shared" ref="G151:G155" si="26">F151^2</f>
        <v>0.12759361893397098</v>
      </c>
      <c r="I151">
        <f t="shared" si="20"/>
        <v>25197.307360412669</v>
      </c>
      <c r="J151" s="6">
        <f t="shared" ref="J151:J155" si="27">I151-$A151</f>
        <v>-1.2639587330340873E-2</v>
      </c>
      <c r="K151" s="6">
        <f t="shared" ref="K151:K155" si="28">J151^2</f>
        <v>1.5975916788131352E-4</v>
      </c>
      <c r="M151">
        <f t="shared" si="21"/>
        <v>25197.021999456989</v>
      </c>
      <c r="N151" s="6">
        <f t="shared" ref="N151:N155" si="29">M151-$A151</f>
        <v>-0.29800054301085765</v>
      </c>
      <c r="O151" s="6">
        <f t="shared" ref="O151:O155" si="30">N151^2</f>
        <v>8.8804323634766022E-2</v>
      </c>
      <c r="Q151">
        <f t="shared" si="22"/>
        <v>25197.296285663822</v>
      </c>
      <c r="R151" s="6">
        <f t="shared" ref="R151:R155" si="31">Q151-$A151</f>
        <v>-2.3714336177363293E-2</v>
      </c>
      <c r="S151" s="6">
        <f t="shared" ref="S151:S155" si="32">R151^2</f>
        <v>5.6236974033300146E-4</v>
      </c>
    </row>
    <row r="152" spans="1:19" x14ac:dyDescent="0.25">
      <c r="A152" s="6">
        <v>25296.52</v>
      </c>
      <c r="B152">
        <v>8</v>
      </c>
      <c r="C152">
        <f t="shared" si="23"/>
        <v>9</v>
      </c>
      <c r="D152">
        <v>3</v>
      </c>
      <c r="E152">
        <f t="shared" si="24"/>
        <v>25296.710000068833</v>
      </c>
      <c r="F152" s="6">
        <f t="shared" si="25"/>
        <v>0.19000006883288734</v>
      </c>
      <c r="G152" s="6">
        <f t="shared" si="26"/>
        <v>3.6100026156501923E-2</v>
      </c>
      <c r="I152">
        <f t="shared" si="20"/>
        <v>25296.554399294379</v>
      </c>
      <c r="J152" s="6">
        <f t="shared" si="27"/>
        <v>3.4399294378090417E-2</v>
      </c>
      <c r="K152" s="6">
        <f t="shared" si="28"/>
        <v>1.183311453710523E-3</v>
      </c>
      <c r="M152">
        <f t="shared" si="21"/>
        <v>25296.709999457129</v>
      </c>
      <c r="N152" s="6">
        <f t="shared" si="29"/>
        <v>0.1899994571285788</v>
      </c>
      <c r="O152" s="6">
        <f t="shared" si="30"/>
        <v>3.609979370915465E-2</v>
      </c>
      <c r="Q152">
        <f t="shared" si="22"/>
        <v>25296.572857096635</v>
      </c>
      <c r="R152" s="6">
        <f t="shared" si="31"/>
        <v>5.2857096634397749E-2</v>
      </c>
      <c r="S152" s="6">
        <f t="shared" si="32"/>
        <v>2.7938726646180617E-3</v>
      </c>
    </row>
    <row r="153" spans="1:19" x14ac:dyDescent="0.25">
      <c r="A153" s="6">
        <v>25396.14</v>
      </c>
      <c r="B153">
        <v>8</v>
      </c>
      <c r="C153">
        <f t="shared" si="23"/>
        <v>9</v>
      </c>
      <c r="D153">
        <v>2</v>
      </c>
      <c r="E153">
        <f t="shared" si="24"/>
        <v>25396.457202627771</v>
      </c>
      <c r="F153" s="6">
        <f t="shared" si="25"/>
        <v>0.31720262777162134</v>
      </c>
      <c r="G153" s="6">
        <f t="shared" si="26"/>
        <v>0.10061750706522175</v>
      </c>
      <c r="I153">
        <f t="shared" si="20"/>
        <v>25396.112639614621</v>
      </c>
      <c r="J153" s="6">
        <f t="shared" si="27"/>
        <v>-2.7360385378415231E-2</v>
      </c>
      <c r="K153" s="6">
        <f t="shared" si="28"/>
        <v>7.4859068805539796E-4</v>
      </c>
      <c r="M153">
        <f t="shared" si="21"/>
        <v>25396.397999457276</v>
      </c>
      <c r="N153" s="6">
        <f t="shared" si="29"/>
        <v>0.25799945727703744</v>
      </c>
      <c r="O153" s="6">
        <f t="shared" si="30"/>
        <v>6.6563719955245862E-2</v>
      </c>
      <c r="Q153">
        <f t="shared" si="22"/>
        <v>25396.123714240948</v>
      </c>
      <c r="R153" s="6">
        <f t="shared" si="31"/>
        <v>-1.6285759051243076E-2</v>
      </c>
      <c r="S153" s="6">
        <f t="shared" si="32"/>
        <v>2.6522594787514579E-4</v>
      </c>
    </row>
    <row r="154" spans="1:19" x14ac:dyDescent="0.25">
      <c r="A154" s="6">
        <v>25495.98</v>
      </c>
      <c r="B154">
        <v>8</v>
      </c>
      <c r="C154">
        <f t="shared" si="23"/>
        <v>9</v>
      </c>
      <c r="D154">
        <v>1</v>
      </c>
      <c r="E154">
        <f t="shared" si="24"/>
        <v>25496.204405186705</v>
      </c>
      <c r="F154" s="6">
        <f t="shared" si="25"/>
        <v>0.22440518670555321</v>
      </c>
      <c r="G154" s="6">
        <f t="shared" si="26"/>
        <v>5.0357687820354192E-2</v>
      </c>
      <c r="I154">
        <f t="shared" si="20"/>
        <v>25495.98208137339</v>
      </c>
      <c r="J154" s="6">
        <f t="shared" si="27"/>
        <v>2.0813733899558429E-3</v>
      </c>
      <c r="K154" s="6">
        <f t="shared" si="28"/>
        <v>4.3321151884162769E-6</v>
      </c>
      <c r="M154">
        <f t="shared" si="21"/>
        <v>25496.08599945742</v>
      </c>
      <c r="N154" s="6">
        <f t="shared" si="29"/>
        <v>0.10599945742069394</v>
      </c>
      <c r="O154" s="6">
        <f t="shared" si="30"/>
        <v>1.1235884973481509E-2</v>
      </c>
      <c r="Q154">
        <f t="shared" si="22"/>
        <v>25495.948857096751</v>
      </c>
      <c r="R154" s="6">
        <f t="shared" si="31"/>
        <v>-3.1142903248110088E-2</v>
      </c>
      <c r="S154" s="6">
        <f t="shared" si="32"/>
        <v>9.6988042272114585E-4</v>
      </c>
    </row>
    <row r="155" spans="1:19" x14ac:dyDescent="0.25">
      <c r="A155" s="6">
        <v>25596.03</v>
      </c>
      <c r="B155">
        <v>8</v>
      </c>
      <c r="C155">
        <f t="shared" si="23"/>
        <v>9</v>
      </c>
      <c r="D155">
        <v>0</v>
      </c>
      <c r="E155">
        <f t="shared" si="24"/>
        <v>25595.951607745646</v>
      </c>
      <c r="F155" s="6">
        <f t="shared" si="25"/>
        <v>-7.8392254352365853E-2</v>
      </c>
      <c r="G155" s="6">
        <f t="shared" si="26"/>
        <v>6.145345542446023E-3</v>
      </c>
      <c r="I155">
        <f t="shared" si="20"/>
        <v>25596.162724570684</v>
      </c>
      <c r="J155" s="6">
        <f t="shared" si="27"/>
        <v>0.13272457068524091</v>
      </c>
      <c r="K155" s="6">
        <f t="shared" si="28"/>
        <v>1.7615811663581511E-2</v>
      </c>
      <c r="M155">
        <f t="shared" si="21"/>
        <v>25595.773999457568</v>
      </c>
      <c r="N155" s="6">
        <f t="shared" si="29"/>
        <v>-0.25600054243113846</v>
      </c>
      <c r="O155" s="6">
        <f t="shared" si="30"/>
        <v>6.5536277725037118E-2</v>
      </c>
      <c r="Q155">
        <f t="shared" si="22"/>
        <v>25596.048285664037</v>
      </c>
      <c r="R155" s="6">
        <f t="shared" si="31"/>
        <v>1.8285664038558025E-2</v>
      </c>
      <c r="S155" s="6">
        <f t="shared" si="32"/>
        <v>3.343655093310142E-4</v>
      </c>
    </row>
    <row r="156" spans="1:19" x14ac:dyDescent="0.25">
      <c r="G156" s="6">
        <f>SUM(G150:G155)</f>
        <v>0.43171340033186517</v>
      </c>
      <c r="K156" s="6">
        <f>SUM(K150:K155)</f>
        <v>4.0840153558803008E-2</v>
      </c>
      <c r="O156" s="6">
        <f>SUM(O150:O155)</f>
        <v>0.26823999999775039</v>
      </c>
      <c r="S156" s="6">
        <f>SUM(S150:S155)</f>
        <v>4.9257142848789081E-3</v>
      </c>
    </row>
    <row r="157" spans="1:19" ht="18" x14ac:dyDescent="0.35">
      <c r="A157" t="s">
        <v>32</v>
      </c>
      <c r="E157">
        <v>1424.7680671680619</v>
      </c>
      <c r="I157">
        <v>1424.7983192615991</v>
      </c>
      <c r="M157">
        <v>1424.8217391620972</v>
      </c>
      <c r="Q157">
        <v>1424.8217454071169</v>
      </c>
    </row>
    <row r="158" spans="1:19" ht="18" x14ac:dyDescent="0.35">
      <c r="A158" t="s">
        <v>33</v>
      </c>
      <c r="E158">
        <v>5.5415112532742796</v>
      </c>
      <c r="I158">
        <v>5.5828802575459369</v>
      </c>
      <c r="M158">
        <v>5.5382222222302682</v>
      </c>
      <c r="Q158">
        <v>5.5763174599324312</v>
      </c>
    </row>
    <row r="159" spans="1:19" ht="18" x14ac:dyDescent="0.35">
      <c r="A159" t="s">
        <v>42</v>
      </c>
      <c r="I159">
        <v>8.6444844035856224E-3</v>
      </c>
      <c r="Q159">
        <v>7.6190475414448311E-3</v>
      </c>
    </row>
    <row r="160" spans="1:19" ht="18" x14ac:dyDescent="0.35">
      <c r="A160" t="s">
        <v>43</v>
      </c>
      <c r="M160">
        <v>-7.8587524923722435E-7</v>
      </c>
      <c r="Q160">
        <v>-3.9555485803667966E-7</v>
      </c>
    </row>
    <row r="162" spans="1:11" s="9" customFormat="1" x14ac:dyDescent="0.25">
      <c r="A162" s="9" t="s">
        <v>55</v>
      </c>
    </row>
    <row r="164" spans="1:11" ht="17.25" x14ac:dyDescent="0.25">
      <c r="A164" t="s">
        <v>40</v>
      </c>
    </row>
    <row r="165" spans="1:11" x14ac:dyDescent="0.25">
      <c r="A165" t="s">
        <v>34</v>
      </c>
    </row>
    <row r="166" spans="1:11" x14ac:dyDescent="0.25">
      <c r="A166" s="6">
        <v>25116.57</v>
      </c>
      <c r="B166">
        <v>8</v>
      </c>
      <c r="C166">
        <f t="shared" ref="C166:C168" si="33">B166+1</f>
        <v>9</v>
      </c>
      <c r="D166">
        <v>2</v>
      </c>
      <c r="E166">
        <f>2*(E$170-E$171*($D166+0.5))*$C166</f>
        <v>25116.526666699534</v>
      </c>
      <c r="F166" s="6">
        <f>E166-$A166</f>
        <v>-4.3333300465747016E-2</v>
      </c>
      <c r="G166" s="6">
        <f>F166^2</f>
        <v>1.8777749292547105E-3</v>
      </c>
      <c r="I166">
        <f>2*(I$170-I$171*($D166+0.5)+I$172*($D166+0.5)^2)*$C166</f>
        <v>25116.57</v>
      </c>
      <c r="J166" s="6">
        <f>I166-$A166</f>
        <v>0</v>
      </c>
      <c r="K166" s="6">
        <f>J166^2</f>
        <v>0</v>
      </c>
    </row>
    <row r="167" spans="1:11" x14ac:dyDescent="0.25">
      <c r="A167" s="6">
        <v>25214.65</v>
      </c>
      <c r="B167">
        <v>8</v>
      </c>
      <c r="C167">
        <f t="shared" si="33"/>
        <v>9</v>
      </c>
      <c r="D167">
        <v>1</v>
      </c>
      <c r="E167">
        <f t="shared" ref="E167:E168" si="34">2*(E$170-E$171*($D167+0.5))*$C167</f>
        <v>25214.736666699529</v>
      </c>
      <c r="F167" s="6">
        <f t="shared" ref="F167:F168" si="35">E167-$A167</f>
        <v>8.6666699527995661E-2</v>
      </c>
      <c r="G167" s="6">
        <f t="shared" ref="G167:G168" si="36">F167^2</f>
        <v>7.5111168070758835E-3</v>
      </c>
      <c r="I167">
        <f>2*(I$170-I$171*($D167+0.5)+I$172*($D167+0.5)^2)*$C167</f>
        <v>25214.65</v>
      </c>
      <c r="J167" s="6">
        <f>I167-$A167</f>
        <v>0</v>
      </c>
      <c r="K167" s="6">
        <f t="shared" ref="K167:K168" si="37">J167^2</f>
        <v>0</v>
      </c>
    </row>
    <row r="168" spans="1:11" x14ac:dyDescent="0.25">
      <c r="A168" s="6">
        <v>25312.99</v>
      </c>
      <c r="B168">
        <v>8</v>
      </c>
      <c r="C168">
        <f t="shared" si="33"/>
        <v>9</v>
      </c>
      <c r="D168">
        <v>0</v>
      </c>
      <c r="E168">
        <f t="shared" si="34"/>
        <v>25312.946666699532</v>
      </c>
      <c r="F168" s="6">
        <f t="shared" si="35"/>
        <v>-4.3333300469384994E-2</v>
      </c>
      <c r="G168" s="6">
        <f t="shared" si="36"/>
        <v>1.8777749295700017E-3</v>
      </c>
      <c r="I168">
        <f>2*(I$170-I$171*($D168+0.5)+I$172*($D168+0.5)^2)*$C168</f>
        <v>25312.990000000005</v>
      </c>
      <c r="J168" s="6">
        <f>I168-$A168</f>
        <v>0</v>
      </c>
      <c r="K168" s="6">
        <f t="shared" si="37"/>
        <v>0</v>
      </c>
    </row>
    <row r="169" spans="1:11" x14ac:dyDescent="0.25">
      <c r="G169" s="6">
        <f>SUM(G166:G168)</f>
        <v>1.1266666665900595E-2</v>
      </c>
      <c r="K169" s="6">
        <f>SUM(K166:K168)</f>
        <v>0</v>
      </c>
    </row>
    <row r="170" spans="1:11" ht="18" x14ac:dyDescent="0.35">
      <c r="A170" t="s">
        <v>32</v>
      </c>
      <c r="E170">
        <v>1409.0028703721962</v>
      </c>
      <c r="I170">
        <v>1409.0143055555561</v>
      </c>
    </row>
    <row r="171" spans="1:11" ht="18" x14ac:dyDescent="0.35">
      <c r="A171" t="s">
        <v>33</v>
      </c>
      <c r="E171">
        <v>5.4561111111110643</v>
      </c>
      <c r="I171">
        <v>5.4777777777786216</v>
      </c>
    </row>
    <row r="172" spans="1:11" ht="18" x14ac:dyDescent="0.35">
      <c r="A172" t="s">
        <v>42</v>
      </c>
      <c r="I172">
        <v>7.2222222224858539E-3</v>
      </c>
    </row>
    <row r="174" spans="1:11" s="9" customFormat="1" x14ac:dyDescent="0.25">
      <c r="A174" s="9" t="s">
        <v>56</v>
      </c>
    </row>
    <row r="176" spans="1:11" ht="17.25" x14ac:dyDescent="0.25">
      <c r="A176" t="s">
        <v>39</v>
      </c>
    </row>
    <row r="177" spans="1:11" x14ac:dyDescent="0.25">
      <c r="A177" t="s">
        <v>35</v>
      </c>
    </row>
    <row r="178" spans="1:11" x14ac:dyDescent="0.25">
      <c r="A178" s="6">
        <v>25072.63</v>
      </c>
      <c r="B178">
        <v>8</v>
      </c>
      <c r="C178">
        <f t="shared" ref="C178:C180" si="38">B178+1</f>
        <v>9</v>
      </c>
      <c r="D178">
        <v>2</v>
      </c>
      <c r="E178">
        <f>2*(E$182-E$183*($D178+0.5))*$C178</f>
        <v>25072.571666783755</v>
      </c>
      <c r="F178" s="6">
        <f>E178-$A178</f>
        <v>-5.8333216245955555E-2</v>
      </c>
      <c r="G178" s="6">
        <f>F178^2</f>
        <v>3.4027641175974131E-3</v>
      </c>
      <c r="I178">
        <f>2*(I$182-I$183*($D178+0.5)+I$184*($D178+0.5)^2)*$C178</f>
        <v>25072.630000000005</v>
      </c>
      <c r="J178" s="6">
        <f>I178-$A178</f>
        <v>0</v>
      </c>
      <c r="K178" s="6">
        <f>J178^2</f>
        <v>0</v>
      </c>
    </row>
    <row r="179" spans="1:11" x14ac:dyDescent="0.25">
      <c r="A179" s="6">
        <v>25170.560000000001</v>
      </c>
      <c r="B179">
        <v>8</v>
      </c>
      <c r="C179">
        <f t="shared" si="38"/>
        <v>9</v>
      </c>
      <c r="D179">
        <v>1</v>
      </c>
      <c r="E179">
        <f t="shared" ref="E179:E180" si="39">2*(E$182-E$183*($D179+0.5))*$C179</f>
        <v>25170.67666689197</v>
      </c>
      <c r="F179" s="6">
        <f t="shared" ref="F179:F180" si="40">E179-$A179</f>
        <v>0.11666689196863445</v>
      </c>
      <c r="G179" s="6">
        <f t="shared" ref="G179:G180" si="41">F179^2</f>
        <v>1.3611163681621021E-2</v>
      </c>
      <c r="I179">
        <f>2*(I$182-I$183*($D179+0.5)+I$184*($D179+0.5)^2)*$C179</f>
        <v>25170.559999999998</v>
      </c>
      <c r="J179" s="6">
        <f>I179-$A179</f>
        <v>0</v>
      </c>
      <c r="K179" s="6">
        <f t="shared" ref="K179:K180" si="42">J179^2</f>
        <v>0</v>
      </c>
    </row>
    <row r="180" spans="1:11" x14ac:dyDescent="0.25">
      <c r="A180" s="6">
        <v>25268.84</v>
      </c>
      <c r="B180">
        <v>8</v>
      </c>
      <c r="C180">
        <f t="shared" si="38"/>
        <v>9</v>
      </c>
      <c r="D180">
        <v>0</v>
      </c>
      <c r="E180">
        <f t="shared" si="39"/>
        <v>25268.781667000188</v>
      </c>
      <c r="F180" s="6">
        <f t="shared" si="40"/>
        <v>-5.8332999811682384E-2</v>
      </c>
      <c r="G180" s="6">
        <f t="shared" si="41"/>
        <v>3.4027388670297373E-3</v>
      </c>
      <c r="I180">
        <f>2*(I$182-I$183*($D180+0.5)+I$184*($D180+0.5)^2)*$C180</f>
        <v>25268.840000000004</v>
      </c>
      <c r="J180" s="6">
        <f>I180-$A180</f>
        <v>0</v>
      </c>
      <c r="K180" s="6">
        <f t="shared" si="42"/>
        <v>0</v>
      </c>
    </row>
    <row r="181" spans="1:11" x14ac:dyDescent="0.25">
      <c r="G181" s="6">
        <f>SUM(G178:G180)</f>
        <v>2.0416666666248171E-2</v>
      </c>
      <c r="K181" s="6">
        <f>SUM(K178:K180)</f>
        <v>0</v>
      </c>
    </row>
    <row r="182" spans="1:11" ht="18" x14ac:dyDescent="0.35">
      <c r="A182" t="s">
        <v>32</v>
      </c>
      <c r="E182">
        <v>1406.5463426141275</v>
      </c>
      <c r="I182">
        <v>1406.5617361111117</v>
      </c>
    </row>
    <row r="183" spans="1:11" ht="18" x14ac:dyDescent="0.35">
      <c r="A183" t="s">
        <v>33</v>
      </c>
      <c r="E183">
        <v>5.4502777837898329</v>
      </c>
      <c r="I183">
        <v>5.4794444444454022</v>
      </c>
    </row>
    <row r="184" spans="1:11" ht="18" x14ac:dyDescent="0.35">
      <c r="A184" t="s">
        <v>42</v>
      </c>
      <c r="I184">
        <v>9.7222222225429068E-3</v>
      </c>
    </row>
    <row r="186" spans="1:11" s="9" customFormat="1" x14ac:dyDescent="0.25">
      <c r="A186" s="9" t="s">
        <v>57</v>
      </c>
    </row>
    <row r="188" spans="1:11" ht="18" x14ac:dyDescent="0.35">
      <c r="A188" t="s">
        <v>36</v>
      </c>
      <c r="E188">
        <f>E157/E170</f>
        <v>1.0111889032502122</v>
      </c>
      <c r="F188">
        <f>E157/E182</f>
        <v>1.0129549407665221</v>
      </c>
      <c r="I188">
        <f>I157/I170</f>
        <v>1.01120216710633</v>
      </c>
      <c r="J188">
        <f>I157/I182</f>
        <v>1.0129653627582023</v>
      </c>
    </row>
    <row r="189" spans="1:11" x14ac:dyDescent="0.25">
      <c r="A189" s="7" t="s">
        <v>37</v>
      </c>
      <c r="D189">
        <f>B12/B9</f>
        <v>1.0244519474923091</v>
      </c>
      <c r="E189">
        <f>B11/B9</f>
        <v>1.011194800897607</v>
      </c>
      <c r="F189">
        <f>B10/B9</f>
        <v>1.0129633537468419</v>
      </c>
      <c r="I189">
        <v>1.011194800897607</v>
      </c>
      <c r="J189">
        <v>1.0129633537468419</v>
      </c>
    </row>
    <row r="190" spans="1:11" x14ac:dyDescent="0.25">
      <c r="A190" s="7"/>
    </row>
    <row r="191" spans="1:11" s="9" customFormat="1" x14ac:dyDescent="0.25">
      <c r="A191" s="12" t="s">
        <v>58</v>
      </c>
    </row>
  </sheetData>
  <sortState ref="A17:C28">
    <sortCondition ref="A17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2023-01-31T05:13:56Z</dcterms:modified>
</cp:coreProperties>
</file>