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/>
  <xr:revisionPtr revIDLastSave="0" documentId="13_ncr:1_{66FC9CB8-D709-4236-ADFF-20A029818736}" xr6:coauthVersionLast="36" xr6:coauthVersionMax="36" xr10:uidLastSave="{00000000-0000-0000-0000-000000000000}"/>
  <bookViews>
    <workbookView xWindow="0" yWindow="0" windowWidth="22260" windowHeight="12300" xr2:uid="{00000000-000D-0000-FFFF-FFFF00000000}"/>
  </bookViews>
  <sheets>
    <sheet name="Microwave" sheetId="3" r:id="rId1"/>
  </sheets>
  <definedNames>
    <definedName name="solver_adj" localSheetId="0" hidden="1">Microwave!$T$177:$T$180</definedName>
    <definedName name="solver_cvg" localSheetId="0" hidden="1">0.0000001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Microwave!$V$175</definedName>
    <definedName name="solver_pre" localSheetId="0" hidden="1">0.00000001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03" i="3" l="1"/>
  <c r="D104" i="3"/>
  <c r="D105" i="3"/>
  <c r="D106" i="3"/>
  <c r="D107" i="3"/>
  <c r="D108" i="3"/>
  <c r="D109" i="3"/>
  <c r="D110" i="3"/>
  <c r="D111" i="3"/>
  <c r="D112" i="3"/>
  <c r="D113" i="3"/>
  <c r="D114" i="3"/>
  <c r="D115" i="3"/>
  <c r="D102" i="3"/>
  <c r="E162" i="3" l="1"/>
  <c r="E163" i="3"/>
  <c r="E164" i="3"/>
  <c r="E165" i="3"/>
  <c r="E166" i="3"/>
  <c r="E167" i="3"/>
  <c r="E168" i="3"/>
  <c r="E169" i="3"/>
  <c r="E170" i="3"/>
  <c r="E171" i="3"/>
  <c r="E172" i="3"/>
  <c r="E173" i="3"/>
  <c r="E174" i="3"/>
  <c r="E182" i="3"/>
  <c r="F140" i="3"/>
  <c r="P123" i="3"/>
  <c r="J6" i="3"/>
  <c r="J5" i="3"/>
  <c r="I8" i="3"/>
  <c r="I7" i="3"/>
  <c r="I6" i="3"/>
  <c r="I5" i="3"/>
  <c r="H8" i="3" l="1"/>
  <c r="H7" i="3"/>
  <c r="H6" i="3"/>
  <c r="H5" i="3"/>
  <c r="G182" i="3" l="1"/>
  <c r="G163" i="3"/>
  <c r="P163" i="3" s="1"/>
  <c r="G164" i="3"/>
  <c r="G165" i="3"/>
  <c r="G166" i="3"/>
  <c r="G167" i="3"/>
  <c r="G168" i="3"/>
  <c r="G169" i="3"/>
  <c r="G170" i="3"/>
  <c r="G171" i="3"/>
  <c r="G172" i="3"/>
  <c r="G173" i="3"/>
  <c r="G174" i="3"/>
  <c r="G162" i="3"/>
  <c r="P162" i="3" s="1"/>
  <c r="U123" i="3"/>
  <c r="U140" i="3"/>
  <c r="K140" i="3"/>
  <c r="P140" i="3"/>
  <c r="K123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21" i="3"/>
  <c r="F95" i="3"/>
  <c r="F94" i="3"/>
  <c r="C80" i="3"/>
  <c r="D80" i="3" s="1"/>
  <c r="C81" i="3"/>
  <c r="D81" i="3" s="1"/>
  <c r="C82" i="3"/>
  <c r="D82" i="3" s="1"/>
  <c r="C83" i="3"/>
  <c r="D83" i="3" s="1"/>
  <c r="C84" i="3"/>
  <c r="D84" i="3" s="1"/>
  <c r="C85" i="3"/>
  <c r="D85" i="3" s="1"/>
  <c r="C86" i="3"/>
  <c r="D86" i="3" s="1"/>
  <c r="C87" i="3"/>
  <c r="F87" i="3" s="1"/>
  <c r="G87" i="3" s="1"/>
  <c r="C88" i="3"/>
  <c r="D88" i="3" s="1"/>
  <c r="C89" i="3"/>
  <c r="D89" i="3" s="1"/>
  <c r="C90" i="3"/>
  <c r="D90" i="3" s="1"/>
  <c r="C91" i="3"/>
  <c r="D91" i="3" s="1"/>
  <c r="C92" i="3"/>
  <c r="F92" i="3" s="1"/>
  <c r="G92" i="3" s="1"/>
  <c r="C79" i="3"/>
  <c r="D79" i="3" s="1"/>
  <c r="M49" i="3"/>
  <c r="L49" i="3"/>
  <c r="L46" i="3"/>
  <c r="M46" i="3"/>
  <c r="N46" i="3"/>
  <c r="L34" i="3"/>
  <c r="M34" i="3"/>
  <c r="N34" i="3"/>
  <c r="L35" i="3"/>
  <c r="M35" i="3"/>
  <c r="N35" i="3"/>
  <c r="L36" i="3"/>
  <c r="M36" i="3"/>
  <c r="N36" i="3"/>
  <c r="L37" i="3"/>
  <c r="M37" i="3"/>
  <c r="N37" i="3"/>
  <c r="L38" i="3"/>
  <c r="M38" i="3"/>
  <c r="N38" i="3"/>
  <c r="L39" i="3"/>
  <c r="M39" i="3"/>
  <c r="N39" i="3"/>
  <c r="L40" i="3"/>
  <c r="M40" i="3"/>
  <c r="N40" i="3"/>
  <c r="L41" i="3"/>
  <c r="M41" i="3"/>
  <c r="N41" i="3"/>
  <c r="L42" i="3"/>
  <c r="M42" i="3"/>
  <c r="N42" i="3"/>
  <c r="L43" i="3"/>
  <c r="M43" i="3"/>
  <c r="N43" i="3"/>
  <c r="L44" i="3"/>
  <c r="M44" i="3"/>
  <c r="N44" i="3"/>
  <c r="L45" i="3"/>
  <c r="M45" i="3"/>
  <c r="N45" i="3"/>
  <c r="N33" i="3"/>
  <c r="M33" i="3"/>
  <c r="L33" i="3"/>
  <c r="G34" i="3"/>
  <c r="H34" i="3"/>
  <c r="G35" i="3"/>
  <c r="H35" i="3"/>
  <c r="G36" i="3"/>
  <c r="H36" i="3"/>
  <c r="G37" i="3"/>
  <c r="H37" i="3"/>
  <c r="G38" i="3"/>
  <c r="H38" i="3"/>
  <c r="G39" i="3"/>
  <c r="H39" i="3"/>
  <c r="G40" i="3"/>
  <c r="H40" i="3"/>
  <c r="G41" i="3"/>
  <c r="H41" i="3"/>
  <c r="G42" i="3"/>
  <c r="H42" i="3"/>
  <c r="G43" i="3"/>
  <c r="H43" i="3"/>
  <c r="G44" i="3"/>
  <c r="H44" i="3"/>
  <c r="G45" i="3"/>
  <c r="H45" i="3"/>
  <c r="G46" i="3"/>
  <c r="H46" i="3"/>
  <c r="H33" i="3"/>
  <c r="G33" i="3"/>
  <c r="B48" i="3"/>
  <c r="B35" i="3" s="1"/>
  <c r="C35" i="3" s="1"/>
  <c r="D35" i="3" s="1"/>
  <c r="D132" i="3" l="1"/>
  <c r="E132" i="3" s="1"/>
  <c r="D128" i="3"/>
  <c r="E128" i="3" s="1"/>
  <c r="D124" i="3"/>
  <c r="E124" i="3" s="1"/>
  <c r="H182" i="3"/>
  <c r="I182" i="3" s="1"/>
  <c r="J182" i="3" s="1"/>
  <c r="D131" i="3"/>
  <c r="E131" i="3" s="1"/>
  <c r="D123" i="3"/>
  <c r="E123" i="3" s="1"/>
  <c r="D70" i="3"/>
  <c r="D127" i="3"/>
  <c r="E127" i="3" s="1"/>
  <c r="L162" i="3"/>
  <c r="M162" i="3" s="1"/>
  <c r="N162" i="3" s="1"/>
  <c r="T162" i="3"/>
  <c r="U162" i="3" s="1"/>
  <c r="V162" i="3" s="1"/>
  <c r="H162" i="3"/>
  <c r="I162" i="3" s="1"/>
  <c r="J162" i="3" s="1"/>
  <c r="Q162" i="3"/>
  <c r="R162" i="3" s="1"/>
  <c r="L171" i="3"/>
  <c r="M171" i="3" s="1"/>
  <c r="N171" i="3" s="1"/>
  <c r="H171" i="3"/>
  <c r="I171" i="3" s="1"/>
  <c r="J171" i="3" s="1"/>
  <c r="T171" i="3"/>
  <c r="U171" i="3" s="1"/>
  <c r="V171" i="3" s="1"/>
  <c r="P171" i="3"/>
  <c r="Q171" i="3" s="1"/>
  <c r="R171" i="3" s="1"/>
  <c r="L167" i="3"/>
  <c r="M167" i="3" s="1"/>
  <c r="N167" i="3" s="1"/>
  <c r="T167" i="3"/>
  <c r="U167" i="3" s="1"/>
  <c r="V167" i="3" s="1"/>
  <c r="P167" i="3"/>
  <c r="Q167" i="3" s="1"/>
  <c r="R167" i="3" s="1"/>
  <c r="H167" i="3"/>
  <c r="I167" i="3" s="1"/>
  <c r="J167" i="3" s="1"/>
  <c r="L163" i="3"/>
  <c r="M163" i="3" s="1"/>
  <c r="N163" i="3" s="1"/>
  <c r="T163" i="3"/>
  <c r="U163" i="3" s="1"/>
  <c r="V163" i="3" s="1"/>
  <c r="H163" i="3"/>
  <c r="I163" i="3" s="1"/>
  <c r="J163" i="3" s="1"/>
  <c r="Q163" i="3"/>
  <c r="R163" i="3" s="1"/>
  <c r="H174" i="3"/>
  <c r="I174" i="3" s="1"/>
  <c r="J174" i="3" s="1"/>
  <c r="T174" i="3"/>
  <c r="U174" i="3" s="1"/>
  <c r="V174" i="3" s="1"/>
  <c r="P174" i="3"/>
  <c r="Q174" i="3" s="1"/>
  <c r="R174" i="3" s="1"/>
  <c r="L174" i="3"/>
  <c r="M174" i="3" s="1"/>
  <c r="N174" i="3" s="1"/>
  <c r="H170" i="3"/>
  <c r="I170" i="3" s="1"/>
  <c r="J170" i="3" s="1"/>
  <c r="T170" i="3"/>
  <c r="U170" i="3" s="1"/>
  <c r="V170" i="3" s="1"/>
  <c r="P170" i="3"/>
  <c r="Q170" i="3" s="1"/>
  <c r="R170" i="3" s="1"/>
  <c r="L170" i="3"/>
  <c r="M170" i="3" s="1"/>
  <c r="N170" i="3" s="1"/>
  <c r="H166" i="3"/>
  <c r="I166" i="3" s="1"/>
  <c r="J166" i="3" s="1"/>
  <c r="T166" i="3"/>
  <c r="U166" i="3" s="1"/>
  <c r="V166" i="3" s="1"/>
  <c r="P166" i="3"/>
  <c r="Q166" i="3" s="1"/>
  <c r="R166" i="3" s="1"/>
  <c r="L166" i="3"/>
  <c r="M166" i="3" s="1"/>
  <c r="N166" i="3" s="1"/>
  <c r="T173" i="3"/>
  <c r="U173" i="3" s="1"/>
  <c r="V173" i="3" s="1"/>
  <c r="P173" i="3"/>
  <c r="Q173" i="3" s="1"/>
  <c r="R173" i="3" s="1"/>
  <c r="L173" i="3"/>
  <c r="M173" i="3" s="1"/>
  <c r="N173" i="3" s="1"/>
  <c r="H173" i="3"/>
  <c r="I173" i="3" s="1"/>
  <c r="J173" i="3" s="1"/>
  <c r="T169" i="3"/>
  <c r="U169" i="3" s="1"/>
  <c r="V169" i="3" s="1"/>
  <c r="P169" i="3"/>
  <c r="Q169" i="3" s="1"/>
  <c r="R169" i="3" s="1"/>
  <c r="L169" i="3"/>
  <c r="M169" i="3" s="1"/>
  <c r="N169" i="3" s="1"/>
  <c r="H169" i="3"/>
  <c r="I169" i="3" s="1"/>
  <c r="J169" i="3" s="1"/>
  <c r="T165" i="3"/>
  <c r="U165" i="3" s="1"/>
  <c r="V165" i="3" s="1"/>
  <c r="P165" i="3"/>
  <c r="Q165" i="3" s="1"/>
  <c r="R165" i="3" s="1"/>
  <c r="L165" i="3"/>
  <c r="M165" i="3" s="1"/>
  <c r="N165" i="3" s="1"/>
  <c r="H165" i="3"/>
  <c r="I165" i="3" s="1"/>
  <c r="J165" i="3" s="1"/>
  <c r="D71" i="3"/>
  <c r="P172" i="3"/>
  <c r="Q172" i="3" s="1"/>
  <c r="R172" i="3" s="1"/>
  <c r="L172" i="3"/>
  <c r="M172" i="3" s="1"/>
  <c r="N172" i="3" s="1"/>
  <c r="H172" i="3"/>
  <c r="I172" i="3" s="1"/>
  <c r="J172" i="3" s="1"/>
  <c r="T172" i="3"/>
  <c r="U172" i="3" s="1"/>
  <c r="V172" i="3" s="1"/>
  <c r="P168" i="3"/>
  <c r="Q168" i="3" s="1"/>
  <c r="R168" i="3" s="1"/>
  <c r="H168" i="3"/>
  <c r="I168" i="3" s="1"/>
  <c r="J168" i="3" s="1"/>
  <c r="L168" i="3"/>
  <c r="M168" i="3" s="1"/>
  <c r="N168" i="3" s="1"/>
  <c r="T168" i="3"/>
  <c r="U168" i="3" s="1"/>
  <c r="V168" i="3" s="1"/>
  <c r="P164" i="3"/>
  <c r="Q164" i="3" s="1"/>
  <c r="R164" i="3" s="1"/>
  <c r="H164" i="3"/>
  <c r="I164" i="3" s="1"/>
  <c r="J164" i="3" s="1"/>
  <c r="T164" i="3"/>
  <c r="U164" i="3" s="1"/>
  <c r="V164" i="3" s="1"/>
  <c r="L164" i="3"/>
  <c r="M164" i="3" s="1"/>
  <c r="N164" i="3" s="1"/>
  <c r="F82" i="3"/>
  <c r="G82" i="3" s="1"/>
  <c r="F86" i="3"/>
  <c r="G86" i="3" s="1"/>
  <c r="D87" i="3"/>
  <c r="F90" i="3"/>
  <c r="G90" i="3" s="1"/>
  <c r="D134" i="3"/>
  <c r="E134" i="3" s="1"/>
  <c r="D130" i="3"/>
  <c r="E130" i="3" s="1"/>
  <c r="D126" i="3"/>
  <c r="E126" i="3" s="1"/>
  <c r="D122" i="3"/>
  <c r="E122" i="3" s="1"/>
  <c r="D133" i="3"/>
  <c r="E133" i="3" s="1"/>
  <c r="D129" i="3"/>
  <c r="E129" i="3" s="1"/>
  <c r="D125" i="3"/>
  <c r="E125" i="3" s="1"/>
  <c r="H132" i="3"/>
  <c r="I132" i="3" s="1"/>
  <c r="H128" i="3"/>
  <c r="I128" i="3" s="1"/>
  <c r="H124" i="3"/>
  <c r="I124" i="3" s="1"/>
  <c r="F89" i="3"/>
  <c r="G89" i="3" s="1"/>
  <c r="F85" i="3"/>
  <c r="G85" i="3" s="1"/>
  <c r="F81" i="3"/>
  <c r="G81" i="3" s="1"/>
  <c r="H121" i="3"/>
  <c r="I121" i="3" s="1"/>
  <c r="H131" i="3"/>
  <c r="I131" i="3" s="1"/>
  <c r="H127" i="3"/>
  <c r="I127" i="3" s="1"/>
  <c r="H123" i="3"/>
  <c r="I123" i="3" s="1"/>
  <c r="B46" i="3"/>
  <c r="C46" i="3" s="1"/>
  <c r="D46" i="3" s="1"/>
  <c r="B42" i="3"/>
  <c r="C42" i="3" s="1"/>
  <c r="D42" i="3" s="1"/>
  <c r="D72" i="3"/>
  <c r="D92" i="3"/>
  <c r="F88" i="3"/>
  <c r="G88" i="3" s="1"/>
  <c r="F84" i="3"/>
  <c r="G84" i="3" s="1"/>
  <c r="F80" i="3"/>
  <c r="G80" i="3" s="1"/>
  <c r="H134" i="3"/>
  <c r="I134" i="3" s="1"/>
  <c r="H130" i="3"/>
  <c r="I130" i="3" s="1"/>
  <c r="H126" i="3"/>
  <c r="I126" i="3" s="1"/>
  <c r="H122" i="3"/>
  <c r="I122" i="3" s="1"/>
  <c r="B34" i="3"/>
  <c r="C34" i="3" s="1"/>
  <c r="D34" i="3" s="1"/>
  <c r="Q123" i="3"/>
  <c r="R123" i="3" s="1"/>
  <c r="R135" i="3" s="1"/>
  <c r="B38" i="3"/>
  <c r="C38" i="3" s="1"/>
  <c r="D38" i="3" s="1"/>
  <c r="F91" i="3"/>
  <c r="G91" i="3" s="1"/>
  <c r="F83" i="3"/>
  <c r="G83" i="3" s="1"/>
  <c r="F79" i="3"/>
  <c r="G79" i="3" s="1"/>
  <c r="D121" i="3"/>
  <c r="E121" i="3" s="1"/>
  <c r="H133" i="3"/>
  <c r="I133" i="3" s="1"/>
  <c r="H129" i="3"/>
  <c r="I129" i="3" s="1"/>
  <c r="H125" i="3"/>
  <c r="I125" i="3" s="1"/>
  <c r="L123" i="3"/>
  <c r="M123" i="3" s="1"/>
  <c r="M135" i="3" s="1"/>
  <c r="V123" i="3"/>
  <c r="W123" i="3" s="1"/>
  <c r="W135" i="3" s="1"/>
  <c r="B45" i="3"/>
  <c r="C45" i="3" s="1"/>
  <c r="D45" i="3" s="1"/>
  <c r="B41" i="3"/>
  <c r="C41" i="3" s="1"/>
  <c r="D41" i="3" s="1"/>
  <c r="B37" i="3"/>
  <c r="C37" i="3" s="1"/>
  <c r="D37" i="3" s="1"/>
  <c r="B44" i="3"/>
  <c r="C44" i="3" s="1"/>
  <c r="D44" i="3" s="1"/>
  <c r="B40" i="3"/>
  <c r="C40" i="3" s="1"/>
  <c r="D40" i="3" s="1"/>
  <c r="B36" i="3"/>
  <c r="C36" i="3" s="1"/>
  <c r="D36" i="3" s="1"/>
  <c r="B33" i="3"/>
  <c r="C33" i="3" s="1"/>
  <c r="D33" i="3" s="1"/>
  <c r="B43" i="3"/>
  <c r="C43" i="3" s="1"/>
  <c r="D43" i="3" s="1"/>
  <c r="B39" i="3"/>
  <c r="C39" i="3" s="1"/>
  <c r="D39" i="3" s="1"/>
  <c r="O44" i="3"/>
  <c r="K44" i="3" s="1"/>
  <c r="O36" i="3"/>
  <c r="K36" i="3" s="1"/>
  <c r="O37" i="3"/>
  <c r="K37" i="3" s="1"/>
  <c r="O40" i="3"/>
  <c r="K40" i="3" s="1"/>
  <c r="O33" i="3"/>
  <c r="K33" i="3" s="1"/>
  <c r="O43" i="3"/>
  <c r="K43" i="3" s="1"/>
  <c r="O46" i="3"/>
  <c r="K46" i="3" s="1"/>
  <c r="O45" i="3"/>
  <c r="K45" i="3" s="1"/>
  <c r="O41" i="3"/>
  <c r="K41" i="3" s="1"/>
  <c r="O35" i="3"/>
  <c r="K35" i="3" s="1"/>
  <c r="O39" i="3"/>
  <c r="K39" i="3" s="1"/>
  <c r="O42" i="3"/>
  <c r="K42" i="3" s="1"/>
  <c r="O38" i="3"/>
  <c r="K38" i="3" s="1"/>
  <c r="O34" i="3"/>
  <c r="K34" i="3" s="1"/>
  <c r="I46" i="3"/>
  <c r="F46" i="3" s="1"/>
  <c r="I45" i="3"/>
  <c r="F45" i="3" s="1"/>
  <c r="I41" i="3"/>
  <c r="F41" i="3" s="1"/>
  <c r="I39" i="3"/>
  <c r="F39" i="3" s="1"/>
  <c r="I37" i="3"/>
  <c r="F37" i="3" s="1"/>
  <c r="I42" i="3"/>
  <c r="F42" i="3" s="1"/>
  <c r="I38" i="3"/>
  <c r="F38" i="3" s="1"/>
  <c r="I36" i="3"/>
  <c r="F36" i="3" s="1"/>
  <c r="I40" i="3"/>
  <c r="F40" i="3" s="1"/>
  <c r="I43" i="3"/>
  <c r="F43" i="3" s="1"/>
  <c r="I44" i="3"/>
  <c r="F44" i="3" s="1"/>
  <c r="I33" i="3"/>
  <c r="F33" i="3" s="1"/>
  <c r="I35" i="3"/>
  <c r="F35" i="3" s="1"/>
  <c r="I34" i="3"/>
  <c r="F34" i="3" s="1"/>
  <c r="B9" i="3"/>
  <c r="V175" i="3" l="1"/>
  <c r="J175" i="3"/>
  <c r="N175" i="3"/>
  <c r="R175" i="3"/>
  <c r="E135" i="3"/>
  <c r="I135" i="3"/>
  <c r="D47" i="3"/>
  <c r="G93" i="3"/>
  <c r="O47" i="3"/>
  <c r="I47" i="3"/>
  <c r="B8" i="3"/>
  <c r="F96" i="3" s="1"/>
  <c r="U141" i="3" l="1"/>
  <c r="K141" i="3"/>
  <c r="F141" i="3"/>
  <c r="P141" i="3"/>
</calcChain>
</file>

<file path=xl/sharedStrings.xml><?xml version="1.0" encoding="utf-8"?>
<sst xmlns="http://schemas.openxmlformats.org/spreadsheetml/2006/main" count="95" uniqueCount="66">
  <si>
    <t>MHz</t>
  </si>
  <si>
    <t>m</t>
  </si>
  <si>
    <t>nat ab (%)</t>
  </si>
  <si>
    <t>nuc spin</t>
  </si>
  <si>
    <t>From A. Honig, M. Mandel, M. L. Stitch, C. H. Townes, Phys. Rev., 96, 629-642 (1954)</t>
  </si>
  <si>
    <t>127I</t>
  </si>
  <si>
    <t>39K</t>
  </si>
  <si>
    <t>41K</t>
  </si>
  <si>
    <r>
      <t>J=4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5,5→6, and 6→7</t>
    </r>
  </si>
  <si>
    <r>
      <rPr>
        <sz val="11"/>
        <color theme="1"/>
        <rFont val="Calibri"/>
        <family val="2"/>
      </rPr>
      <t>ν=ν</t>
    </r>
    <r>
      <rPr>
        <vertAlign val="subscript"/>
        <sz val="11"/>
        <color theme="1"/>
        <rFont val="Calibri"/>
        <family val="2"/>
      </rPr>
      <t>ave</t>
    </r>
  </si>
  <si>
    <t>Model1</t>
  </si>
  <si>
    <t>dev</t>
  </si>
  <si>
    <t>dev^2</t>
  </si>
  <si>
    <t>Model2</t>
  </si>
  <si>
    <t>dev1^2</t>
  </si>
  <si>
    <t>dev2^2</t>
  </si>
  <si>
    <t>dev2min</t>
  </si>
  <si>
    <t>Model3</t>
  </si>
  <si>
    <t>dev3^2</t>
  </si>
  <si>
    <t>devmin</t>
  </si>
  <si>
    <t>J+1</t>
  </si>
  <si>
    <t>J</t>
  </si>
  <si>
    <t>J Assignment #1</t>
  </si>
  <si>
    <t xml:space="preserve">J  </t>
  </si>
  <si>
    <t>2B</t>
  </si>
  <si>
    <t>B (MHz)</t>
  </si>
  <si>
    <t>B(cm-1)</t>
  </si>
  <si>
    <r>
      <t>h (*10</t>
    </r>
    <r>
      <rPr>
        <vertAlign val="superscript"/>
        <sz val="11"/>
        <color theme="1"/>
        <rFont val="Calibri"/>
        <family val="2"/>
        <scheme val="minor"/>
      </rPr>
      <t xml:space="preserve">34 </t>
    </r>
    <r>
      <rPr>
        <sz val="11"/>
        <color theme="1"/>
        <rFont val="Calibri"/>
        <family val="2"/>
        <scheme val="minor"/>
      </rPr>
      <t>Js)</t>
    </r>
  </si>
  <si>
    <t>I</t>
  </si>
  <si>
    <t>c (m/s)</t>
  </si>
  <si>
    <t>exact</t>
  </si>
  <si>
    <t>r</t>
  </si>
  <si>
    <r>
      <t>amu (*10</t>
    </r>
    <r>
      <rPr>
        <vertAlign val="superscript"/>
        <sz val="11"/>
        <color theme="1"/>
        <rFont val="Calibri"/>
        <family val="2"/>
        <scheme val="minor"/>
      </rPr>
      <t>27</t>
    </r>
    <r>
      <rPr>
        <sz val="11"/>
        <color theme="1"/>
        <rFont val="Calibri"/>
        <family val="2"/>
        <scheme val="minor"/>
      </rPr>
      <t xml:space="preserve"> kg)</t>
    </r>
  </si>
  <si>
    <t>eff B</t>
  </si>
  <si>
    <t>v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</si>
  <si>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>=B</t>
    </r>
    <r>
      <rPr>
        <vertAlign val="subscript"/>
        <sz val="11"/>
        <color theme="1"/>
        <rFont val="Calibri"/>
        <family val="2"/>
        <scheme val="minor"/>
      </rPr>
      <t>v</t>
    </r>
    <r>
      <rPr>
        <sz val="11"/>
        <color theme="1"/>
        <rFont val="Calibri"/>
        <family val="2"/>
        <scheme val="minor"/>
      </rPr>
      <t>-</t>
    </r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</rPr>
      <t>e</t>
    </r>
    <r>
      <rPr>
        <sz val="11"/>
        <color theme="1"/>
        <rFont val="Calibri"/>
        <family val="2"/>
      </rPr>
      <t>(v+1/2)</t>
    </r>
  </si>
  <si>
    <t>dev2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</si>
  <si>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</si>
  <si>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  <scheme val="minor"/>
      </rPr>
      <t>e</t>
    </r>
  </si>
  <si>
    <r>
      <rPr>
        <sz val="11"/>
        <color theme="1"/>
        <rFont val="Calibri"/>
        <family val="2"/>
      </rPr>
      <t>γ</t>
    </r>
    <r>
      <rPr>
        <vertAlign val="subscript"/>
        <sz val="11"/>
        <color theme="1"/>
        <rFont val="Calibri"/>
        <family val="2"/>
      </rPr>
      <t>e</t>
    </r>
  </si>
  <si>
    <t>&lt;</t>
  </si>
  <si>
    <t>Model elim1</t>
  </si>
  <si>
    <t>Species1</t>
  </si>
  <si>
    <t>Species2</t>
  </si>
  <si>
    <t>ratio Be</t>
  </si>
  <si>
    <r>
      <t xml:space="preserve">ratio </t>
    </r>
    <r>
      <rPr>
        <sz val="11"/>
        <color theme="1"/>
        <rFont val="Calibri"/>
        <family val="2"/>
      </rPr>
      <t>μ</t>
    </r>
  </si>
  <si>
    <t>S2 vib ass1</t>
  </si>
  <si>
    <t>S2 vib ass2</t>
  </si>
  <si>
    <t>Spec</t>
  </si>
  <si>
    <t>Species</t>
  </si>
  <si>
    <t>v+0.5</t>
  </si>
  <si>
    <t>Model params</t>
  </si>
  <si>
    <r>
      <t>D</t>
    </r>
    <r>
      <rPr>
        <vertAlign val="subscript"/>
        <sz val="11"/>
        <color theme="1"/>
        <rFont val="Calibri"/>
        <family val="2"/>
      </rPr>
      <t>e</t>
    </r>
  </si>
  <si>
    <t>diff</t>
  </si>
  <si>
    <t>diffsq</t>
  </si>
  <si>
    <t>Model4</t>
  </si>
  <si>
    <t>Bo ratio</t>
  </si>
  <si>
    <t>uncertainty</t>
  </si>
  <si>
    <t>First plot the data.</t>
  </si>
  <si>
    <t>Perform a cluster analysis</t>
  </si>
  <si>
    <t>Plot the cluster averages.</t>
  </si>
  <si>
    <t>Assign the J.</t>
  </si>
  <si>
    <t>Plot effective 2B to see if there is clustering.</t>
  </si>
  <si>
    <t>Separate into isotopologues. One point is not like the others!</t>
  </si>
  <si>
    <t>Analyse major isotopologue</t>
  </si>
  <si>
    <t>Plot the deviations.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</si>
</sst>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00"/>
    <numFmt numFmtId="165" formatCode="0.0"/>
    <numFmt numFmtId="166" formatCode="0.0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.45"/>
      <color theme="1"/>
      <name val="Calibri"/>
      <family val="2"/>
      <scheme val="minor"/>
    </font>
    <font>
      <vertAlign val="subscript"/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2" fillId="0" borderId="0" xfId="0" applyFont="1"/>
    <xf numFmtId="164" fontId="2" fillId="0" borderId="0" xfId="0" applyNumberFormat="1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1" fillId="0" borderId="0" xfId="0" applyFont="1"/>
    <xf numFmtId="0" fontId="0" fillId="2" borderId="0" xfId="0" applyFill="1"/>
    <xf numFmtId="0" fontId="2" fillId="2" borderId="0" xfId="0" applyFont="1" applyFill="1"/>
    <xf numFmtId="166" fontId="0" fillId="2" borderId="0" xfId="0" applyNumberFormat="1" applyFill="1"/>
    <xf numFmtId="0" fontId="1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KI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312625291917248E-2"/>
          <c:y val="0.14393514396492921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Microwave!$A$14:$A$27</c:f>
              <c:numCache>
                <c:formatCode>0.000</c:formatCode>
                <c:ptCount val="14"/>
                <c:pt idx="0">
                  <c:v>18129.61</c:v>
                </c:pt>
                <c:pt idx="1">
                  <c:v>18209.77</c:v>
                </c:pt>
                <c:pt idx="2">
                  <c:v>21036.78</c:v>
                </c:pt>
                <c:pt idx="3">
                  <c:v>21184.73</c:v>
                </c:pt>
                <c:pt idx="4">
                  <c:v>21279.07</c:v>
                </c:pt>
                <c:pt idx="5">
                  <c:v>21373.63</c:v>
                </c:pt>
                <c:pt idx="6">
                  <c:v>21563.91</c:v>
                </c:pt>
                <c:pt idx="7">
                  <c:v>21659.38</c:v>
                </c:pt>
                <c:pt idx="8">
                  <c:v>21755.19</c:v>
                </c:pt>
                <c:pt idx="9">
                  <c:v>21851.32</c:v>
                </c:pt>
                <c:pt idx="10">
                  <c:v>25157.040000000001</c:v>
                </c:pt>
                <c:pt idx="11">
                  <c:v>25268.95</c:v>
                </c:pt>
                <c:pt idx="12">
                  <c:v>25380.71</c:v>
                </c:pt>
                <c:pt idx="13">
                  <c:v>25492.81</c:v>
                </c:pt>
              </c:numCache>
            </c:numRef>
          </c:xVal>
          <c:yVal>
            <c:numRef>
              <c:f>Microwave!$C$14:$C$27</c:f>
              <c:numCache>
                <c:formatCode>General</c:formatCode>
                <c:ptCount val="1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4F-4E71-82D0-907A5A2F2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  <c:min val="17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(Model</a:t>
            </a:r>
            <a:r>
              <a:rPr lang="en-CA" baseline="0"/>
              <a:t> 3)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Microwave!$Q$162:$Q$174</c:f>
              <c:numCache>
                <c:formatCode>0.000</c:formatCode>
                <c:ptCount val="13"/>
                <c:pt idx="0">
                  <c:v>-0.36498452395971981</c:v>
                </c:pt>
                <c:pt idx="1">
                  <c:v>0.35896291728568031</c:v>
                </c:pt>
                <c:pt idx="2">
                  <c:v>1.2815487632324221</c:v>
                </c:pt>
                <c:pt idx="3">
                  <c:v>0.29828569272649474</c:v>
                </c:pt>
                <c:pt idx="4">
                  <c:v>-0.46497737777826842</c:v>
                </c:pt>
                <c:pt idx="5">
                  <c:v>-0.83150351879157824</c:v>
                </c:pt>
                <c:pt idx="6">
                  <c:v>-0.68476658929648693</c:v>
                </c:pt>
                <c:pt idx="7">
                  <c:v>-0.19802965980488807</c:v>
                </c:pt>
                <c:pt idx="8">
                  <c:v>0.60870726968641975</c:v>
                </c:pt>
                <c:pt idx="9">
                  <c:v>-1.0226993935211794</c:v>
                </c:pt>
                <c:pt idx="10">
                  <c:v>-0.32317297577901627</c:v>
                </c:pt>
                <c:pt idx="11">
                  <c:v>0.22635344195805374</c:v>
                </c:pt>
                <c:pt idx="12">
                  <c:v>1.1158798597025452</c:v>
                </c:pt>
              </c:numCache>
            </c:numRef>
          </c:xVal>
          <c:yVal>
            <c:numRef>
              <c:f>Microwave!$D$162:$D$174</c:f>
              <c:numCache>
                <c:formatCode>General</c:formatCode>
                <c:ptCount val="13"/>
                <c:pt idx="0">
                  <c:v>1</c:v>
                </c:pt>
                <c:pt idx="1">
                  <c:v>0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2F6-49C4-8B47-25EDEC3EE26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3903232"/>
        <c:axId val="643891096"/>
      </c:scatterChart>
      <c:valAx>
        <c:axId val="643903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layout>
            <c:manualLayout>
              <c:xMode val="edge"/>
              <c:yMode val="edge"/>
              <c:x val="0.45636111111111111"/>
              <c:y val="0.887939632545931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891096"/>
        <c:crosses val="autoZero"/>
        <c:crossBetween val="midCat"/>
      </c:valAx>
      <c:valAx>
        <c:axId val="643891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903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(Model</a:t>
            </a:r>
            <a:r>
              <a:rPr lang="en-CA" baseline="0"/>
              <a:t> 3)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Microwave!$Q$162:$Q$174</c:f>
              <c:numCache>
                <c:formatCode>0.000</c:formatCode>
                <c:ptCount val="13"/>
                <c:pt idx="0">
                  <c:v>-0.36498452395971981</c:v>
                </c:pt>
                <c:pt idx="1">
                  <c:v>0.35896291728568031</c:v>
                </c:pt>
                <c:pt idx="2">
                  <c:v>1.2815487632324221</c:v>
                </c:pt>
                <c:pt idx="3">
                  <c:v>0.29828569272649474</c:v>
                </c:pt>
                <c:pt idx="4">
                  <c:v>-0.46497737777826842</c:v>
                </c:pt>
                <c:pt idx="5">
                  <c:v>-0.83150351879157824</c:v>
                </c:pt>
                <c:pt idx="6">
                  <c:v>-0.68476658929648693</c:v>
                </c:pt>
                <c:pt idx="7">
                  <c:v>-0.19802965980488807</c:v>
                </c:pt>
                <c:pt idx="8">
                  <c:v>0.60870726968641975</c:v>
                </c:pt>
                <c:pt idx="9">
                  <c:v>-1.0226993935211794</c:v>
                </c:pt>
                <c:pt idx="10">
                  <c:v>-0.32317297577901627</c:v>
                </c:pt>
                <c:pt idx="11">
                  <c:v>0.22635344195805374</c:v>
                </c:pt>
                <c:pt idx="12">
                  <c:v>1.1158798597025452</c:v>
                </c:pt>
              </c:numCache>
            </c:numRef>
          </c:xVal>
          <c:yVal>
            <c:numRef>
              <c:f>Microwave!$F$162:$F$174</c:f>
              <c:numCache>
                <c:formatCode>General</c:formatCode>
                <c:ptCount val="13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E1-4636-BF70-F532FF3778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3903232"/>
        <c:axId val="643891096"/>
      </c:scatterChart>
      <c:valAx>
        <c:axId val="643903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layout>
            <c:manualLayout>
              <c:xMode val="edge"/>
              <c:yMode val="edge"/>
              <c:x val="0.45636111111111111"/>
              <c:y val="0.887939632545931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891096"/>
        <c:crosses val="autoZero"/>
        <c:crossBetween val="midCat"/>
      </c:valAx>
      <c:valAx>
        <c:axId val="643891096"/>
        <c:scaling>
          <c:orientation val="minMax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903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(Model</a:t>
            </a:r>
            <a:r>
              <a:rPr lang="en-CA" baseline="0"/>
              <a:t> 4)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Microwave!$U$162:$U$174</c:f>
              <c:numCache>
                <c:formatCode>0.000</c:formatCode>
                <c:ptCount val="13"/>
                <c:pt idx="0">
                  <c:v>-2.3120341786125209E-2</c:v>
                </c:pt>
                <c:pt idx="1">
                  <c:v>-5.451551634905627E-3</c:v>
                </c:pt>
                <c:pt idx="2">
                  <c:v>1.5590415423503146E-3</c:v>
                </c:pt>
                <c:pt idx="3">
                  <c:v>3.7750059203972341E-2</c:v>
                </c:pt>
                <c:pt idx="4">
                  <c:v>-1.7223668048245599E-2</c:v>
                </c:pt>
                <c:pt idx="5">
                  <c:v>9.9334642702160636E-2</c:v>
                </c:pt>
                <c:pt idx="6">
                  <c:v>2.0866680708422791E-2</c:v>
                </c:pt>
                <c:pt idx="7">
                  <c:v>-2.8766026203811634E-2</c:v>
                </c:pt>
                <c:pt idx="8">
                  <c:v>-6.9563478016789304E-2</c:v>
                </c:pt>
                <c:pt idx="9">
                  <c:v>-0.26897272080532275</c:v>
                </c:pt>
                <c:pt idx="10">
                  <c:v>0.16781465686653974</c:v>
                </c:pt>
                <c:pt idx="11">
                  <c:v>9.1576498805807205E-2</c:v>
                </c:pt>
                <c:pt idx="12">
                  <c:v>-7.6871949786436744E-3</c:v>
                </c:pt>
              </c:numCache>
            </c:numRef>
          </c:xVal>
          <c:yVal>
            <c:numRef>
              <c:f>Microwave!$D$162:$D$174</c:f>
              <c:numCache>
                <c:formatCode>General</c:formatCode>
                <c:ptCount val="13"/>
                <c:pt idx="0">
                  <c:v>1</c:v>
                </c:pt>
                <c:pt idx="1">
                  <c:v>0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800-416C-92FA-2C9391F6588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3903232"/>
        <c:axId val="643891096"/>
      </c:scatterChart>
      <c:valAx>
        <c:axId val="643903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layout>
            <c:manualLayout>
              <c:xMode val="edge"/>
              <c:yMode val="edge"/>
              <c:x val="0.45636111111111111"/>
              <c:y val="0.887939632545931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891096"/>
        <c:crosses val="autoZero"/>
        <c:crossBetween val="midCat"/>
      </c:valAx>
      <c:valAx>
        <c:axId val="643891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903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(Model</a:t>
            </a:r>
            <a:r>
              <a:rPr lang="en-CA" baseline="0"/>
              <a:t> 4)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Microwave!$U$162:$U$174</c:f>
              <c:numCache>
                <c:formatCode>0.000</c:formatCode>
                <c:ptCount val="13"/>
                <c:pt idx="0">
                  <c:v>-2.3120341786125209E-2</c:v>
                </c:pt>
                <c:pt idx="1">
                  <c:v>-5.451551634905627E-3</c:v>
                </c:pt>
                <c:pt idx="2">
                  <c:v>1.5590415423503146E-3</c:v>
                </c:pt>
                <c:pt idx="3">
                  <c:v>3.7750059203972341E-2</c:v>
                </c:pt>
                <c:pt idx="4">
                  <c:v>-1.7223668048245599E-2</c:v>
                </c:pt>
                <c:pt idx="5">
                  <c:v>9.9334642702160636E-2</c:v>
                </c:pt>
                <c:pt idx="6">
                  <c:v>2.0866680708422791E-2</c:v>
                </c:pt>
                <c:pt idx="7">
                  <c:v>-2.8766026203811634E-2</c:v>
                </c:pt>
                <c:pt idx="8">
                  <c:v>-6.9563478016789304E-2</c:v>
                </c:pt>
                <c:pt idx="9">
                  <c:v>-0.26897272080532275</c:v>
                </c:pt>
                <c:pt idx="10">
                  <c:v>0.16781465686653974</c:v>
                </c:pt>
                <c:pt idx="11">
                  <c:v>9.1576498805807205E-2</c:v>
                </c:pt>
                <c:pt idx="12">
                  <c:v>-7.6871949786436744E-3</c:v>
                </c:pt>
              </c:numCache>
            </c:numRef>
          </c:xVal>
          <c:yVal>
            <c:numRef>
              <c:f>Microwave!$F$162:$F$174</c:f>
              <c:numCache>
                <c:formatCode>General</c:formatCode>
                <c:ptCount val="13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A2E-42A1-B9C9-6A8AA683F9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3903232"/>
        <c:axId val="643891096"/>
      </c:scatterChart>
      <c:valAx>
        <c:axId val="643903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layout>
            <c:manualLayout>
              <c:xMode val="edge"/>
              <c:yMode val="edge"/>
              <c:x val="0.45636111111111111"/>
              <c:y val="0.887939632545931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891096"/>
        <c:crosses val="autoZero"/>
        <c:crossBetween val="midCat"/>
      </c:valAx>
      <c:valAx>
        <c:axId val="643891096"/>
        <c:scaling>
          <c:orientation val="minMax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903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KI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(Microwave!$A$53:$A$66,Microwave!$A$70:$A$72)</c:f>
              <c:numCache>
                <c:formatCode>0.000</c:formatCode>
                <c:ptCount val="17"/>
                <c:pt idx="0">
                  <c:v>18129.61</c:v>
                </c:pt>
                <c:pt idx="1">
                  <c:v>18209.77</c:v>
                </c:pt>
                <c:pt idx="2">
                  <c:v>21036.78</c:v>
                </c:pt>
                <c:pt idx="3">
                  <c:v>21184.73</c:v>
                </c:pt>
                <c:pt idx="4">
                  <c:v>21279.07</c:v>
                </c:pt>
                <c:pt idx="5">
                  <c:v>21373.63</c:v>
                </c:pt>
                <c:pt idx="6">
                  <c:v>21563.91</c:v>
                </c:pt>
                <c:pt idx="7">
                  <c:v>21659.38</c:v>
                </c:pt>
                <c:pt idx="8">
                  <c:v>21755.19</c:v>
                </c:pt>
                <c:pt idx="9">
                  <c:v>21851.32</c:v>
                </c:pt>
                <c:pt idx="10">
                  <c:v>25157.040000000001</c:v>
                </c:pt>
                <c:pt idx="11">
                  <c:v>25268.95</c:v>
                </c:pt>
                <c:pt idx="12">
                  <c:v>25380.71</c:v>
                </c:pt>
                <c:pt idx="13">
                  <c:v>25492.81</c:v>
                </c:pt>
                <c:pt idx="14" formatCode="General">
                  <c:v>18169.690001864379</c:v>
                </c:pt>
                <c:pt idx="15" formatCode="General">
                  <c:v>21463.001248525015</c:v>
                </c:pt>
                <c:pt idx="16" formatCode="General">
                  <c:v>25324.877503813648</c:v>
                </c:pt>
              </c:numCache>
            </c:numRef>
          </c:xVal>
          <c:yVal>
            <c:numRef>
              <c:f>(Microwave!$B$53:$B$66,Microwave!$B$70:$B$72)</c:f>
              <c:numCache>
                <c:formatCode>General</c:formatCode>
                <c:ptCount val="1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F83-44ED-8EE1-4E326866B16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853232"/>
        <c:axId val="327857824"/>
      </c:scatterChart>
      <c:valAx>
        <c:axId val="327853232"/>
        <c:scaling>
          <c:orientation val="minMax"/>
          <c:min val="18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</a:t>
                </a:r>
                <a:r>
                  <a:rPr lang="en-CA" baseline="0"/>
                  <a:t> (MHz)</a:t>
                </a:r>
                <a:endParaRPr lang="en-C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857824"/>
        <c:crosses val="autoZero"/>
        <c:crossBetween val="midCat"/>
      </c:valAx>
      <c:valAx>
        <c:axId val="327857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Number of clusters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85323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KI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Microwave!$A$53:$A$72</c:f>
              <c:numCache>
                <c:formatCode>0.000</c:formatCode>
                <c:ptCount val="20"/>
                <c:pt idx="0">
                  <c:v>18129.61</c:v>
                </c:pt>
                <c:pt idx="1">
                  <c:v>18209.77</c:v>
                </c:pt>
                <c:pt idx="2">
                  <c:v>21036.78</c:v>
                </c:pt>
                <c:pt idx="3">
                  <c:v>21184.73</c:v>
                </c:pt>
                <c:pt idx="4">
                  <c:v>21279.07</c:v>
                </c:pt>
                <c:pt idx="5">
                  <c:v>21373.63</c:v>
                </c:pt>
                <c:pt idx="6">
                  <c:v>21563.91</c:v>
                </c:pt>
                <c:pt idx="7">
                  <c:v>21659.38</c:v>
                </c:pt>
                <c:pt idx="8">
                  <c:v>21755.19</c:v>
                </c:pt>
                <c:pt idx="9">
                  <c:v>21851.32</c:v>
                </c:pt>
                <c:pt idx="10">
                  <c:v>25157.040000000001</c:v>
                </c:pt>
                <c:pt idx="11">
                  <c:v>25268.95</c:v>
                </c:pt>
                <c:pt idx="12">
                  <c:v>25380.71</c:v>
                </c:pt>
                <c:pt idx="13">
                  <c:v>25492.81</c:v>
                </c:pt>
                <c:pt idx="14" formatCode="General">
                  <c:v>22095.921428571426</c:v>
                </c:pt>
                <c:pt idx="15" formatCode="General">
                  <c:v>20804.339019593139</c:v>
                </c:pt>
                <c:pt idx="16" formatCode="General">
                  <c:v>25324.877495938308</c:v>
                </c:pt>
                <c:pt idx="17" formatCode="General">
                  <c:v>18169.690001864379</c:v>
                </c:pt>
                <c:pt idx="18" formatCode="General">
                  <c:v>21463.001248525015</c:v>
                </c:pt>
                <c:pt idx="19" formatCode="General">
                  <c:v>25324.877503813648</c:v>
                </c:pt>
              </c:numCache>
            </c:numRef>
          </c:xVal>
          <c:yVal>
            <c:numRef>
              <c:f>Microwave!$B$53:$B$72</c:f>
              <c:numCache>
                <c:formatCode>General</c:formatCode>
                <c:ptCount val="2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1</c:v>
                </c:pt>
                <c:pt idx="15">
                  <c:v>2</c:v>
                </c:pt>
                <c:pt idx="16">
                  <c:v>2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606B-463D-93FC-81B9F4D832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7853232"/>
        <c:axId val="327857824"/>
      </c:scatterChart>
      <c:valAx>
        <c:axId val="327853232"/>
        <c:scaling>
          <c:orientation val="minMax"/>
          <c:min val="18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</a:t>
                </a:r>
                <a:r>
                  <a:rPr lang="en-CA" baseline="0"/>
                  <a:t> (MHz)</a:t>
                </a:r>
                <a:endParaRPr lang="en-C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857824"/>
        <c:crosses val="autoZero"/>
        <c:crossBetween val="midCat"/>
      </c:valAx>
      <c:valAx>
        <c:axId val="3278578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Number of clusters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7853232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Clustering of effective 2B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Microwave!$A$102:$A$115</c:f>
              <c:numCache>
                <c:formatCode>General</c:formatCode>
                <c:ptCount val="14"/>
                <c:pt idx="0">
                  <c:v>3625.922</c:v>
                </c:pt>
                <c:pt idx="1">
                  <c:v>3641.9540000000002</c:v>
                </c:pt>
                <c:pt idx="2">
                  <c:v>3506.1299999999997</c:v>
                </c:pt>
                <c:pt idx="3">
                  <c:v>3530.7883333333334</c:v>
                </c:pt>
                <c:pt idx="4">
                  <c:v>3546.5116666666668</c:v>
                </c:pt>
                <c:pt idx="5">
                  <c:v>3562.271666666667</c:v>
                </c:pt>
                <c:pt idx="6">
                  <c:v>3593.9850000000001</c:v>
                </c:pt>
                <c:pt idx="7">
                  <c:v>3609.896666666667</c:v>
                </c:pt>
                <c:pt idx="8">
                  <c:v>3625.8649999999998</c:v>
                </c:pt>
                <c:pt idx="9">
                  <c:v>3641.8866666666668</c:v>
                </c:pt>
                <c:pt idx="10">
                  <c:v>3593.8628571428571</c:v>
                </c:pt>
                <c:pt idx="11">
                  <c:v>3609.85</c:v>
                </c:pt>
                <c:pt idx="12">
                  <c:v>3625.815714285714</c:v>
                </c:pt>
                <c:pt idx="13">
                  <c:v>3641.8300000000004</c:v>
                </c:pt>
              </c:numCache>
            </c:numRef>
          </c:xVal>
          <c:yVal>
            <c:numRef>
              <c:f>Microwave!$B$102:$B$115</c:f>
              <c:numCache>
                <c:formatCode>General</c:formatCode>
                <c:ptCount val="14"/>
                <c:pt idx="0">
                  <c:v>1</c:v>
                </c:pt>
                <c:pt idx="1">
                  <c:v>1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78D-414A-A0E2-E4D8DE8299D9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Microwave!$A$102:$A$115</c:f>
              <c:numCache>
                <c:formatCode>General</c:formatCode>
                <c:ptCount val="14"/>
                <c:pt idx="0">
                  <c:v>3625.922</c:v>
                </c:pt>
                <c:pt idx="1">
                  <c:v>3641.9540000000002</c:v>
                </c:pt>
                <c:pt idx="2">
                  <c:v>3506.1299999999997</c:v>
                </c:pt>
                <c:pt idx="3">
                  <c:v>3530.7883333333334</c:v>
                </c:pt>
                <c:pt idx="4">
                  <c:v>3546.5116666666668</c:v>
                </c:pt>
                <c:pt idx="5">
                  <c:v>3562.271666666667</c:v>
                </c:pt>
                <c:pt idx="6">
                  <c:v>3593.9850000000001</c:v>
                </c:pt>
                <c:pt idx="7">
                  <c:v>3609.896666666667</c:v>
                </c:pt>
                <c:pt idx="8">
                  <c:v>3625.8649999999998</c:v>
                </c:pt>
                <c:pt idx="9">
                  <c:v>3641.8866666666668</c:v>
                </c:pt>
                <c:pt idx="10">
                  <c:v>3593.8628571428571</c:v>
                </c:pt>
                <c:pt idx="11">
                  <c:v>3609.85</c:v>
                </c:pt>
                <c:pt idx="12">
                  <c:v>3625.815714285714</c:v>
                </c:pt>
                <c:pt idx="13">
                  <c:v>3641.8300000000004</c:v>
                </c:pt>
              </c:numCache>
            </c:numRef>
          </c:xVal>
          <c:yVal>
            <c:numRef>
              <c:f>Microwave!$D$102:$D$115</c:f>
              <c:numCache>
                <c:formatCode>General</c:formatCode>
                <c:ptCount val="14"/>
                <c:pt idx="0">
                  <c:v>1.2</c:v>
                </c:pt>
                <c:pt idx="1">
                  <c:v>1.2</c:v>
                </c:pt>
                <c:pt idx="2">
                  <c:v>2.4</c:v>
                </c:pt>
                <c:pt idx="3">
                  <c:v>1.4</c:v>
                </c:pt>
                <c:pt idx="4">
                  <c:v>1.4</c:v>
                </c:pt>
                <c:pt idx="5">
                  <c:v>1.4</c:v>
                </c:pt>
                <c:pt idx="6">
                  <c:v>1.4</c:v>
                </c:pt>
                <c:pt idx="7">
                  <c:v>1.4</c:v>
                </c:pt>
                <c:pt idx="8">
                  <c:v>1.4</c:v>
                </c:pt>
                <c:pt idx="9">
                  <c:v>1.4</c:v>
                </c:pt>
                <c:pt idx="10">
                  <c:v>1.6</c:v>
                </c:pt>
                <c:pt idx="11">
                  <c:v>1.6</c:v>
                </c:pt>
                <c:pt idx="12">
                  <c:v>1.6</c:v>
                </c:pt>
                <c:pt idx="13">
                  <c:v>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17A-430F-932B-7896E34F8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6474832"/>
        <c:axId val="446477456"/>
      </c:scatterChart>
      <c:valAx>
        <c:axId val="4464748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Effective 2B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477456"/>
        <c:crosses val="autoZero"/>
        <c:crossBetween val="midCat"/>
      </c:valAx>
      <c:valAx>
        <c:axId val="4464774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6474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in B</a:t>
            </a:r>
            <a:r>
              <a:rPr lang="en-CA" baseline="-25000"/>
              <a:t>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Microwave!$D$121:$D$134</c:f>
              <c:numCache>
                <c:formatCode>General</c:formatCode>
                <c:ptCount val="14"/>
                <c:pt idx="0">
                  <c:v>0.15800695448524493</c:v>
                </c:pt>
                <c:pt idx="1">
                  <c:v>0.44488707031496233</c:v>
                </c:pt>
                <c:pt idx="2">
                  <c:v>2.094966027847704</c:v>
                </c:pt>
                <c:pt idx="3">
                  <c:v>-1.0341070738261351</c:v>
                </c:pt>
                <c:pt idx="4">
                  <c:v>-0.90156029132958793</c:v>
                </c:pt>
                <c:pt idx="5">
                  <c:v>-0.75068017549983779</c:v>
                </c:pt>
                <c:pt idx="6">
                  <c:v>-0.35225327717398613</c:v>
                </c:pt>
                <c:pt idx="7">
                  <c:v>-0.12553982801091479</c:v>
                </c:pt>
                <c:pt idx="8">
                  <c:v>0.12950695448512306</c:v>
                </c:pt>
                <c:pt idx="9">
                  <c:v>0.41122040364825807</c:v>
                </c:pt>
                <c:pt idx="10">
                  <c:v>-0.41332470574548097</c:v>
                </c:pt>
                <c:pt idx="11">
                  <c:v>-0.14887316134445427</c:v>
                </c:pt>
                <c:pt idx="12">
                  <c:v>0.10486409734221525</c:v>
                </c:pt>
                <c:pt idx="13">
                  <c:v>0.38288707031506419</c:v>
                </c:pt>
              </c:numCache>
            </c:numRef>
          </c:xVal>
          <c:yVal>
            <c:numRef>
              <c:f>Microwave!$B$121:$B$134</c:f>
              <c:numCache>
                <c:formatCode>General</c:formatCode>
                <c:ptCount val="14"/>
                <c:pt idx="0">
                  <c:v>1</c:v>
                </c:pt>
                <c:pt idx="1">
                  <c:v>0</c:v>
                </c:pt>
                <c:pt idx="2">
                  <c:v>9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8E-4877-AEA6-D345CB2900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440664"/>
        <c:axId val="404439680"/>
      </c:scatterChart>
      <c:valAx>
        <c:axId val="404440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in B</a:t>
                </a:r>
                <a:r>
                  <a:rPr lang="en-CA" baseline="-25000"/>
                  <a:t>v</a:t>
                </a:r>
                <a:r>
                  <a:rPr lang="en-CA"/>
                  <a:t> (MHz)</a:t>
                </a:r>
              </a:p>
            </c:rich>
          </c:tx>
          <c:layout>
            <c:manualLayout>
              <c:xMode val="edge"/>
              <c:yMode val="edge"/>
              <c:x val="0.45436111111111105"/>
              <c:y val="0.86942111402741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439680"/>
        <c:crosses val="autoZero"/>
        <c:crossBetween val="midCat"/>
      </c:valAx>
      <c:valAx>
        <c:axId val="40443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440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in B</a:t>
            </a:r>
            <a:r>
              <a:rPr lang="en-CA" baseline="-25000"/>
              <a:t>v</a:t>
            </a:r>
            <a:r>
              <a:rPr lang="en-CA" baseline="0"/>
              <a:t> </a:t>
            </a:r>
            <a:r>
              <a:rPr lang="en-CA" sz="1400" b="0" i="0" u="none" strike="noStrike" baseline="0">
                <a:effectLst/>
              </a:rPr>
              <a:t>(Elim 1)</a:t>
            </a:r>
            <a:endParaRPr lang="en-CA" baseline="-25000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Microwave!$H$121:$H$134</c:f>
              <c:numCache>
                <c:formatCode>General</c:formatCode>
                <c:ptCount val="14"/>
                <c:pt idx="0">
                  <c:v>2.4285698985067938E-2</c:v>
                </c:pt>
                <c:pt idx="1">
                  <c:v>9.820236565428786E-2</c:v>
                </c:pt>
                <c:pt idx="2">
                  <c:v>3.6649523656305973</c:v>
                </c:pt>
                <c:pt idx="3">
                  <c:v>0.10995236563599065</c:v>
                </c:pt>
                <c:pt idx="4">
                  <c:v>2.9535698972040336E-2</c:v>
                </c:pt>
                <c:pt idx="5">
                  <c:v>-3.2547634358479627E-2</c:v>
                </c:pt>
                <c:pt idx="6">
                  <c:v>-6.0047634353395551E-2</c:v>
                </c:pt>
                <c:pt idx="7">
                  <c:v>-4.6297634350821681E-2</c:v>
                </c:pt>
                <c:pt idx="8">
                  <c:v>-4.214301015053934E-3</c:v>
                </c:pt>
                <c:pt idx="9">
                  <c:v>6.4535698987583601E-2</c:v>
                </c:pt>
                <c:pt idx="10">
                  <c:v>-0.12111906292489039</c:v>
                </c:pt>
                <c:pt idx="11">
                  <c:v>-6.9630967684361167E-2</c:v>
                </c:pt>
                <c:pt idx="12">
                  <c:v>-2.8857158157961749E-2</c:v>
                </c:pt>
                <c:pt idx="13">
                  <c:v>3.6202365654389723E-2</c:v>
                </c:pt>
              </c:numCache>
            </c:numRef>
          </c:xVal>
          <c:yVal>
            <c:numRef>
              <c:f>Microwave!$B$121:$B$134</c:f>
              <c:numCache>
                <c:formatCode>General</c:formatCode>
                <c:ptCount val="14"/>
                <c:pt idx="0">
                  <c:v>1</c:v>
                </c:pt>
                <c:pt idx="1">
                  <c:v>0</c:v>
                </c:pt>
                <c:pt idx="2">
                  <c:v>9</c:v>
                </c:pt>
                <c:pt idx="3">
                  <c:v>7</c:v>
                </c:pt>
                <c:pt idx="4">
                  <c:v>6</c:v>
                </c:pt>
                <c:pt idx="5">
                  <c:v>5</c:v>
                </c:pt>
                <c:pt idx="6">
                  <c:v>3</c:v>
                </c:pt>
                <c:pt idx="7">
                  <c:v>2</c:v>
                </c:pt>
                <c:pt idx="8">
                  <c:v>1</c:v>
                </c:pt>
                <c:pt idx="9">
                  <c:v>0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185-490F-AB34-7AB1164893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4440664"/>
        <c:axId val="404439680"/>
      </c:scatterChart>
      <c:valAx>
        <c:axId val="4044406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in B</a:t>
                </a:r>
                <a:r>
                  <a:rPr lang="en-CA" baseline="-25000"/>
                  <a:t>v</a:t>
                </a:r>
                <a:r>
                  <a:rPr lang="en-CA"/>
                  <a:t> (MHz)</a:t>
                </a:r>
              </a:p>
            </c:rich>
          </c:tx>
          <c:layout>
            <c:manualLayout>
              <c:xMode val="edge"/>
              <c:yMode val="edge"/>
              <c:x val="0.45436111111111105"/>
              <c:y val="0.869421114027413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439680"/>
        <c:crosses val="autoZero"/>
        <c:crossBetween val="midCat"/>
      </c:valAx>
      <c:valAx>
        <c:axId val="4044396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44406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(Model</a:t>
            </a:r>
            <a:r>
              <a:rPr lang="en-CA" baseline="0"/>
              <a:t> 1)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Microwave!$I$162:$I$174</c:f>
              <c:numCache>
                <c:formatCode>0.000</c:formatCode>
                <c:ptCount val="13"/>
                <c:pt idx="0">
                  <c:v>0.32760873500592425</c:v>
                </c:pt>
                <c:pt idx="1">
                  <c:v>1.0739141615231347</c:v>
                </c:pt>
                <c:pt idx="2">
                  <c:v>1.36973141107228</c:v>
                </c:pt>
                <c:pt idx="3">
                  <c:v>0.41329792289616307</c:v>
                </c:pt>
                <c:pt idx="4">
                  <c:v>-0.32313556528242771</c:v>
                </c:pt>
                <c:pt idx="5">
                  <c:v>-0.6360025416361168</c:v>
                </c:pt>
                <c:pt idx="6">
                  <c:v>-0.4624360298148531</c:v>
                </c:pt>
                <c:pt idx="7">
                  <c:v>5.1130482006556122E-2</c:v>
                </c:pt>
                <c:pt idx="8">
                  <c:v>0.88469699382767431</c:v>
                </c:pt>
                <c:pt idx="9">
                  <c:v>-1.5970029652416997</c:v>
                </c:pt>
                <c:pt idx="10">
                  <c:v>-0.86617536811536411</c:v>
                </c:pt>
                <c:pt idx="11">
                  <c:v>-0.28534777099412167</c:v>
                </c:pt>
                <c:pt idx="12">
                  <c:v>0.63547982613454224</c:v>
                </c:pt>
              </c:numCache>
            </c:numRef>
          </c:xVal>
          <c:yVal>
            <c:numRef>
              <c:f>Microwave!$D$162:$D$174</c:f>
              <c:numCache>
                <c:formatCode>General</c:formatCode>
                <c:ptCount val="13"/>
                <c:pt idx="0">
                  <c:v>1</c:v>
                </c:pt>
                <c:pt idx="1">
                  <c:v>0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CA2-4C78-9196-B7510698B2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3903232"/>
        <c:axId val="643891096"/>
      </c:scatterChart>
      <c:valAx>
        <c:axId val="643903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layout>
            <c:manualLayout>
              <c:xMode val="edge"/>
              <c:yMode val="edge"/>
              <c:x val="0.45636111111111111"/>
              <c:y val="0.887939632545931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891096"/>
        <c:crosses val="autoZero"/>
        <c:crossBetween val="midCat"/>
      </c:valAx>
      <c:valAx>
        <c:axId val="643891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903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(Model</a:t>
            </a:r>
            <a:r>
              <a:rPr lang="en-CA" baseline="0"/>
              <a:t> 1)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Microwave!$I$162:$I$174</c:f>
              <c:numCache>
                <c:formatCode>0.000</c:formatCode>
                <c:ptCount val="13"/>
                <c:pt idx="0">
                  <c:v>0.32760873500592425</c:v>
                </c:pt>
                <c:pt idx="1">
                  <c:v>1.0739141615231347</c:v>
                </c:pt>
                <c:pt idx="2">
                  <c:v>1.36973141107228</c:v>
                </c:pt>
                <c:pt idx="3">
                  <c:v>0.41329792289616307</c:v>
                </c:pt>
                <c:pt idx="4">
                  <c:v>-0.32313556528242771</c:v>
                </c:pt>
                <c:pt idx="5">
                  <c:v>-0.6360025416361168</c:v>
                </c:pt>
                <c:pt idx="6">
                  <c:v>-0.4624360298148531</c:v>
                </c:pt>
                <c:pt idx="7">
                  <c:v>5.1130482006556122E-2</c:v>
                </c:pt>
                <c:pt idx="8">
                  <c:v>0.88469699382767431</c:v>
                </c:pt>
                <c:pt idx="9">
                  <c:v>-1.5970029652416997</c:v>
                </c:pt>
                <c:pt idx="10">
                  <c:v>-0.86617536811536411</c:v>
                </c:pt>
                <c:pt idx="11">
                  <c:v>-0.28534777099412167</c:v>
                </c:pt>
                <c:pt idx="12">
                  <c:v>0.63547982613454224</c:v>
                </c:pt>
              </c:numCache>
            </c:numRef>
          </c:xVal>
          <c:yVal>
            <c:numRef>
              <c:f>Microwave!$F$162:$F$174</c:f>
              <c:numCache>
                <c:formatCode>General</c:formatCode>
                <c:ptCount val="13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CE-4B8D-86AC-6702CDE3AF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3903232"/>
        <c:axId val="643891096"/>
      </c:scatterChart>
      <c:valAx>
        <c:axId val="643903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layout>
            <c:manualLayout>
              <c:xMode val="edge"/>
              <c:yMode val="edge"/>
              <c:x val="0.45636111111111111"/>
              <c:y val="0.887939632545931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891096"/>
        <c:crosses val="autoZero"/>
        <c:crossBetween val="midCat"/>
      </c:valAx>
      <c:valAx>
        <c:axId val="643891096"/>
        <c:scaling>
          <c:orientation val="minMax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903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(Model</a:t>
            </a:r>
            <a:r>
              <a:rPr lang="en-CA" baseline="0"/>
              <a:t> 2)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Microwave!$M$162:$M$174</c:f>
              <c:numCache>
                <c:formatCode>0.000</c:formatCode>
                <c:ptCount val="13"/>
                <c:pt idx="0">
                  <c:v>0.38756338015082292</c:v>
                </c:pt>
                <c:pt idx="1">
                  <c:v>0.35495958577303099</c:v>
                </c:pt>
                <c:pt idx="2">
                  <c:v>-6.3371088584972313E-2</c:v>
                </c:pt>
                <c:pt idx="3">
                  <c:v>7.7845633670222014E-2</c:v>
                </c:pt>
                <c:pt idx="4">
                  <c:v>0.10033881001072587</c:v>
                </c:pt>
                <c:pt idx="5">
                  <c:v>0.28915452493311022</c:v>
                </c:pt>
                <c:pt idx="6">
                  <c:v>0.20547706351862871</c:v>
                </c:pt>
                <c:pt idx="7">
                  <c:v>0.12307605618116213</c:v>
                </c:pt>
                <c:pt idx="8">
                  <c:v>2.1951502927549882E-2</c:v>
                </c:pt>
                <c:pt idx="9">
                  <c:v>-0.51765305424123653</c:v>
                </c:pt>
                <c:pt idx="10">
                  <c:v>-8.6943425896606641E-2</c:v>
                </c:pt>
                <c:pt idx="11">
                  <c:v>-0.20141126778617036</c:v>
                </c:pt>
                <c:pt idx="12">
                  <c:v>-0.37105657991560292</c:v>
                </c:pt>
              </c:numCache>
            </c:numRef>
          </c:xVal>
          <c:yVal>
            <c:numRef>
              <c:f>Microwave!$D$162:$D$174</c:f>
              <c:numCache>
                <c:formatCode>General</c:formatCode>
                <c:ptCount val="13"/>
                <c:pt idx="0">
                  <c:v>1</c:v>
                </c:pt>
                <c:pt idx="1">
                  <c:v>0</c:v>
                </c:pt>
                <c:pt idx="2">
                  <c:v>7</c:v>
                </c:pt>
                <c:pt idx="3">
                  <c:v>6</c:v>
                </c:pt>
                <c:pt idx="4">
                  <c:v>5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  <c:pt idx="9">
                  <c:v>3</c:v>
                </c:pt>
                <c:pt idx="10">
                  <c:v>2</c:v>
                </c:pt>
                <c:pt idx="11">
                  <c:v>1</c:v>
                </c:pt>
                <c:pt idx="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55F-49DC-B51D-A2CC0CB722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3903232"/>
        <c:axId val="643891096"/>
      </c:scatterChart>
      <c:valAx>
        <c:axId val="643903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layout>
            <c:manualLayout>
              <c:xMode val="edge"/>
              <c:yMode val="edge"/>
              <c:x val="0.45636111111111111"/>
              <c:y val="0.887939632545931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891096"/>
        <c:crosses val="autoZero"/>
        <c:crossBetween val="midCat"/>
      </c:valAx>
      <c:valAx>
        <c:axId val="6438910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903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Deviations (Model</a:t>
            </a:r>
            <a:r>
              <a:rPr lang="en-CA" baseline="0"/>
              <a:t> 2)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Microwave!$M$162:$M$174</c:f>
              <c:numCache>
                <c:formatCode>0.000</c:formatCode>
                <c:ptCount val="13"/>
                <c:pt idx="0">
                  <c:v>0.38756338015082292</c:v>
                </c:pt>
                <c:pt idx="1">
                  <c:v>0.35495958577303099</c:v>
                </c:pt>
                <c:pt idx="2">
                  <c:v>-6.3371088584972313E-2</c:v>
                </c:pt>
                <c:pt idx="3">
                  <c:v>7.7845633670222014E-2</c:v>
                </c:pt>
                <c:pt idx="4">
                  <c:v>0.10033881001072587</c:v>
                </c:pt>
                <c:pt idx="5">
                  <c:v>0.28915452493311022</c:v>
                </c:pt>
                <c:pt idx="6">
                  <c:v>0.20547706351862871</c:v>
                </c:pt>
                <c:pt idx="7">
                  <c:v>0.12307605618116213</c:v>
                </c:pt>
                <c:pt idx="8">
                  <c:v>2.1951502927549882E-2</c:v>
                </c:pt>
                <c:pt idx="9">
                  <c:v>-0.51765305424123653</c:v>
                </c:pt>
                <c:pt idx="10">
                  <c:v>-8.6943425896606641E-2</c:v>
                </c:pt>
                <c:pt idx="11">
                  <c:v>-0.20141126778617036</c:v>
                </c:pt>
                <c:pt idx="12">
                  <c:v>-0.37105657991560292</c:v>
                </c:pt>
              </c:numCache>
            </c:numRef>
          </c:xVal>
          <c:yVal>
            <c:numRef>
              <c:f>Microwave!$F$162:$F$174</c:f>
              <c:numCache>
                <c:formatCode>General</c:formatCode>
                <c:ptCount val="13"/>
                <c:pt idx="0">
                  <c:v>4</c:v>
                </c:pt>
                <c:pt idx="1">
                  <c:v>4</c:v>
                </c:pt>
                <c:pt idx="2">
                  <c:v>5</c:v>
                </c:pt>
                <c:pt idx="3">
                  <c:v>5</c:v>
                </c:pt>
                <c:pt idx="4">
                  <c:v>5</c:v>
                </c:pt>
                <c:pt idx="5">
                  <c:v>5</c:v>
                </c:pt>
                <c:pt idx="6">
                  <c:v>5</c:v>
                </c:pt>
                <c:pt idx="7">
                  <c:v>5</c:v>
                </c:pt>
                <c:pt idx="8">
                  <c:v>5</c:v>
                </c:pt>
                <c:pt idx="9">
                  <c:v>6</c:v>
                </c:pt>
                <c:pt idx="10">
                  <c:v>6</c:v>
                </c:pt>
                <c:pt idx="11">
                  <c:v>6</c:v>
                </c:pt>
                <c:pt idx="12">
                  <c:v>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78-443A-A074-321BAEA2D9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643903232"/>
        <c:axId val="643891096"/>
      </c:scatterChart>
      <c:valAx>
        <c:axId val="6439032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Deviations (MHz)</a:t>
                </a:r>
              </a:p>
            </c:rich>
          </c:tx>
          <c:layout>
            <c:manualLayout>
              <c:xMode val="edge"/>
              <c:yMode val="edge"/>
              <c:x val="0.45636111111111111"/>
              <c:y val="0.8879396325459317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891096"/>
        <c:crosses val="autoZero"/>
        <c:crossBetween val="midCat"/>
      </c:valAx>
      <c:valAx>
        <c:axId val="643891096"/>
        <c:scaling>
          <c:orientation val="minMax"/>
          <c:min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439032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228601</xdr:colOff>
      <xdr:row>13</xdr:row>
      <xdr:rowOff>19050</xdr:rowOff>
    </xdr:from>
    <xdr:to>
      <xdr:col>15</xdr:col>
      <xdr:colOff>323851</xdr:colOff>
      <xdr:row>27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238124</xdr:colOff>
      <xdr:row>52</xdr:row>
      <xdr:rowOff>180974</xdr:rowOff>
    </xdr:from>
    <xdr:to>
      <xdr:col>14</xdr:col>
      <xdr:colOff>657224</xdr:colOff>
      <xdr:row>72</xdr:row>
      <xdr:rowOff>33337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704851</xdr:colOff>
      <xdr:row>100</xdr:row>
      <xdr:rowOff>1</xdr:rowOff>
    </xdr:from>
    <xdr:to>
      <xdr:col>10</xdr:col>
      <xdr:colOff>409576</xdr:colOff>
      <xdr:row>114</xdr:row>
      <xdr:rowOff>171451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</xdr:col>
      <xdr:colOff>200025</xdr:colOff>
      <xdr:row>142</xdr:row>
      <xdr:rowOff>4762</xdr:rowOff>
    </xdr:from>
    <xdr:to>
      <xdr:col>6</xdr:col>
      <xdr:colOff>542925</xdr:colOff>
      <xdr:row>156</xdr:row>
      <xdr:rowOff>80962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0</xdr:colOff>
      <xdr:row>142</xdr:row>
      <xdr:rowOff>0</xdr:rowOff>
    </xdr:from>
    <xdr:to>
      <xdr:col>14</xdr:col>
      <xdr:colOff>38100</xdr:colOff>
      <xdr:row>156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38100</xdr:colOff>
      <xdr:row>191</xdr:row>
      <xdr:rowOff>4762</xdr:rowOff>
    </xdr:from>
    <xdr:to>
      <xdr:col>5</xdr:col>
      <xdr:colOff>542925</xdr:colOff>
      <xdr:row>205</xdr:row>
      <xdr:rowOff>80962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600075</xdr:colOff>
      <xdr:row>191</xdr:row>
      <xdr:rowOff>0</xdr:rowOff>
    </xdr:from>
    <xdr:to>
      <xdr:col>11</xdr:col>
      <xdr:colOff>323850</xdr:colOff>
      <xdr:row>205</xdr:row>
      <xdr:rowOff>76200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381000</xdr:colOff>
      <xdr:row>191</xdr:row>
      <xdr:rowOff>4762</xdr:rowOff>
    </xdr:from>
    <xdr:to>
      <xdr:col>18</xdr:col>
      <xdr:colOff>590550</xdr:colOff>
      <xdr:row>205</xdr:row>
      <xdr:rowOff>80962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19</xdr:col>
      <xdr:colOff>38100</xdr:colOff>
      <xdr:row>191</xdr:row>
      <xdr:rowOff>0</xdr:rowOff>
    </xdr:from>
    <xdr:to>
      <xdr:col>26</xdr:col>
      <xdr:colOff>342900</xdr:colOff>
      <xdr:row>205</xdr:row>
      <xdr:rowOff>76200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0</xdr:colOff>
      <xdr:row>206</xdr:row>
      <xdr:rowOff>4762</xdr:rowOff>
    </xdr:from>
    <xdr:to>
      <xdr:col>5</xdr:col>
      <xdr:colOff>504825</xdr:colOff>
      <xdr:row>220</xdr:row>
      <xdr:rowOff>80962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561975</xdr:colOff>
      <xdr:row>206</xdr:row>
      <xdr:rowOff>0</xdr:rowOff>
    </xdr:from>
    <xdr:to>
      <xdr:col>11</xdr:col>
      <xdr:colOff>285750</xdr:colOff>
      <xdr:row>220</xdr:row>
      <xdr:rowOff>76200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400050</xdr:colOff>
      <xdr:row>206</xdr:row>
      <xdr:rowOff>14287</xdr:rowOff>
    </xdr:from>
    <xdr:to>
      <xdr:col>19</xdr:col>
      <xdr:colOff>0</xdr:colOff>
      <xdr:row>220</xdr:row>
      <xdr:rowOff>90487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19</xdr:col>
      <xdr:colOff>57150</xdr:colOff>
      <xdr:row>206</xdr:row>
      <xdr:rowOff>9525</xdr:rowOff>
    </xdr:from>
    <xdr:to>
      <xdr:col>26</xdr:col>
      <xdr:colOff>361950</xdr:colOff>
      <xdr:row>220</xdr:row>
      <xdr:rowOff>85725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0</xdr:colOff>
      <xdr:row>53</xdr:row>
      <xdr:rowOff>0</xdr:rowOff>
    </xdr:from>
    <xdr:to>
      <xdr:col>26</xdr:col>
      <xdr:colOff>200025</xdr:colOff>
      <xdr:row>72</xdr:row>
      <xdr:rowOff>42863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190"/>
  <sheetViews>
    <sheetView tabSelected="1" topLeftCell="A199" workbookViewId="0">
      <selection activeCell="A190" sqref="A190:XFD190"/>
    </sheetView>
  </sheetViews>
  <sheetFormatPr defaultRowHeight="15" x14ac:dyDescent="0.25"/>
  <cols>
    <col min="1" max="1" width="9.5703125" bestFit="1" customWidth="1"/>
    <col min="2" max="2" width="15.140625" customWidth="1"/>
    <col min="3" max="3" width="12.140625" bestFit="1" customWidth="1"/>
    <col min="4" max="4" width="12.5703125" bestFit="1" customWidth="1"/>
    <col min="5" max="5" width="11.5703125" bestFit="1" customWidth="1"/>
    <col min="6" max="6" width="12" bestFit="1" customWidth="1"/>
    <col min="7" max="7" width="11" bestFit="1" customWidth="1"/>
    <col min="9" max="9" width="12.5703125" bestFit="1" customWidth="1"/>
    <col min="10" max="10" width="16.7109375" bestFit="1" customWidth="1"/>
    <col min="11" max="11" width="11.28515625" customWidth="1"/>
    <col min="15" max="15" width="10.5703125" bestFit="1" customWidth="1"/>
  </cols>
  <sheetData>
    <row r="1" spans="1:10" x14ac:dyDescent="0.25">
      <c r="A1" t="s">
        <v>4</v>
      </c>
    </row>
    <row r="3" spans="1:10" x14ac:dyDescent="0.25">
      <c r="A3" t="s">
        <v>8</v>
      </c>
    </row>
    <row r="4" spans="1:10" x14ac:dyDescent="0.25">
      <c r="B4" t="s">
        <v>1</v>
      </c>
      <c r="C4" t="s">
        <v>57</v>
      </c>
      <c r="D4" t="s">
        <v>2</v>
      </c>
      <c r="E4" t="s">
        <v>3</v>
      </c>
    </row>
    <row r="5" spans="1:10" x14ac:dyDescent="0.25">
      <c r="A5" t="s">
        <v>6</v>
      </c>
      <c r="B5" s="2">
        <v>38.963706680000001</v>
      </c>
      <c r="C5" s="3">
        <v>1.9999999999999999E-7</v>
      </c>
      <c r="D5" s="4">
        <v>93.258099999999999</v>
      </c>
      <c r="E5" s="5">
        <v>1.5</v>
      </c>
      <c r="H5">
        <f>3300*5</f>
        <v>16500</v>
      </c>
      <c r="I5">
        <f>3577*5</f>
        <v>17885</v>
      </c>
      <c r="J5" s="6">
        <f>A23-A15</f>
        <v>3641.5499999999993</v>
      </c>
    </row>
    <row r="6" spans="1:10" x14ac:dyDescent="0.25">
      <c r="A6" t="s">
        <v>7</v>
      </c>
      <c r="B6" s="2">
        <v>40.961825760000004</v>
      </c>
      <c r="C6" s="3">
        <v>2.1E-7</v>
      </c>
      <c r="D6" s="4">
        <v>6.7302</v>
      </c>
      <c r="E6" s="5">
        <v>1.5</v>
      </c>
      <c r="H6">
        <f>3300*6</f>
        <v>19800</v>
      </c>
      <c r="I6">
        <f>3577*6</f>
        <v>21462</v>
      </c>
      <c r="J6" s="6">
        <f>A27-A23</f>
        <v>3641.4900000000016</v>
      </c>
    </row>
    <row r="7" spans="1:10" x14ac:dyDescent="0.25">
      <c r="A7" t="s">
        <v>5</v>
      </c>
      <c r="B7" s="2">
        <v>126.904473</v>
      </c>
      <c r="C7" s="3">
        <v>3.9999999999999998E-6</v>
      </c>
      <c r="D7" s="4">
        <v>100</v>
      </c>
      <c r="E7" s="5">
        <v>2.5</v>
      </c>
      <c r="H7">
        <f>3300*7</f>
        <v>23100</v>
      </c>
      <c r="I7">
        <f>3577*7</f>
        <v>25039</v>
      </c>
    </row>
    <row r="8" spans="1:10" x14ac:dyDescent="0.25">
      <c r="B8" s="1">
        <f>B5*B7/(B5+B7)</f>
        <v>29.810833349057347</v>
      </c>
      <c r="H8">
        <f>3300*8</f>
        <v>26400</v>
      </c>
      <c r="I8">
        <f>3577*8</f>
        <v>28616</v>
      </c>
    </row>
    <row r="9" spans="1:10" x14ac:dyDescent="0.25">
      <c r="B9" s="1">
        <f>B6*B7/(B6+B7)</f>
        <v>30.966542716370931</v>
      </c>
    </row>
    <row r="10" spans="1:10" x14ac:dyDescent="0.25">
      <c r="B10" s="1"/>
    </row>
    <row r="11" spans="1:10" s="8" customFormat="1" x14ac:dyDescent="0.25">
      <c r="A11" s="8" t="s">
        <v>58</v>
      </c>
      <c r="B11" s="9"/>
    </row>
    <row r="12" spans="1:10" x14ac:dyDescent="0.25">
      <c r="B12" s="1"/>
    </row>
    <row r="13" spans="1:10" x14ac:dyDescent="0.25">
      <c r="A13" t="s">
        <v>0</v>
      </c>
      <c r="B13" t="s">
        <v>57</v>
      </c>
    </row>
    <row r="14" spans="1:10" x14ac:dyDescent="0.25">
      <c r="A14" s="6">
        <v>18129.61</v>
      </c>
      <c r="B14">
        <v>0.2</v>
      </c>
      <c r="C14">
        <v>1</v>
      </c>
    </row>
    <row r="15" spans="1:10" x14ac:dyDescent="0.25">
      <c r="A15" s="6">
        <v>18209.77</v>
      </c>
      <c r="B15">
        <v>0.1</v>
      </c>
      <c r="C15">
        <v>1</v>
      </c>
    </row>
    <row r="16" spans="1:10" x14ac:dyDescent="0.25">
      <c r="A16" s="6">
        <v>21036.78</v>
      </c>
      <c r="B16">
        <v>0.1</v>
      </c>
      <c r="C16">
        <v>1</v>
      </c>
    </row>
    <row r="17" spans="1:15" x14ac:dyDescent="0.25">
      <c r="A17" s="6">
        <v>21184.73</v>
      </c>
      <c r="B17">
        <v>0.1</v>
      </c>
      <c r="C17">
        <v>1</v>
      </c>
    </row>
    <row r="18" spans="1:15" x14ac:dyDescent="0.25">
      <c r="A18" s="6">
        <v>21279.07</v>
      </c>
      <c r="B18">
        <v>0.1</v>
      </c>
      <c r="C18">
        <v>1</v>
      </c>
    </row>
    <row r="19" spans="1:15" x14ac:dyDescent="0.25">
      <c r="A19" s="6">
        <v>21373.63</v>
      </c>
      <c r="B19">
        <v>0.1</v>
      </c>
      <c r="C19">
        <v>1</v>
      </c>
    </row>
    <row r="20" spans="1:15" x14ac:dyDescent="0.25">
      <c r="A20" s="6">
        <v>21563.91</v>
      </c>
      <c r="B20">
        <v>0.1</v>
      </c>
      <c r="C20">
        <v>1</v>
      </c>
    </row>
    <row r="21" spans="1:15" x14ac:dyDescent="0.25">
      <c r="A21" s="6">
        <v>21659.38</v>
      </c>
      <c r="B21">
        <v>0.1</v>
      </c>
      <c r="C21">
        <v>1</v>
      </c>
    </row>
    <row r="22" spans="1:15" x14ac:dyDescent="0.25">
      <c r="A22" s="6">
        <v>21755.19</v>
      </c>
      <c r="B22">
        <v>0.1</v>
      </c>
      <c r="C22">
        <v>1</v>
      </c>
    </row>
    <row r="23" spans="1:15" x14ac:dyDescent="0.25">
      <c r="A23" s="6">
        <v>21851.32</v>
      </c>
      <c r="B23">
        <v>0.1</v>
      </c>
      <c r="C23">
        <v>1</v>
      </c>
    </row>
    <row r="24" spans="1:15" x14ac:dyDescent="0.25">
      <c r="A24" s="6">
        <v>25157.040000000001</v>
      </c>
      <c r="B24">
        <v>0.3</v>
      </c>
      <c r="C24">
        <v>1</v>
      </c>
    </row>
    <row r="25" spans="1:15" x14ac:dyDescent="0.25">
      <c r="A25" s="6">
        <v>25268.95</v>
      </c>
      <c r="B25">
        <v>0.15</v>
      </c>
      <c r="C25">
        <v>1</v>
      </c>
    </row>
    <row r="26" spans="1:15" x14ac:dyDescent="0.25">
      <c r="A26" s="6">
        <v>25380.71</v>
      </c>
      <c r="B26">
        <v>0.15</v>
      </c>
      <c r="C26">
        <v>1</v>
      </c>
    </row>
    <row r="27" spans="1:15" x14ac:dyDescent="0.25">
      <c r="A27" s="6">
        <v>25492.81</v>
      </c>
      <c r="B27">
        <v>0.15</v>
      </c>
      <c r="C27">
        <v>1</v>
      </c>
    </row>
    <row r="28" spans="1:15" x14ac:dyDescent="0.25">
      <c r="A28" s="6"/>
    </row>
    <row r="29" spans="1:15" x14ac:dyDescent="0.25">
      <c r="A29" s="6"/>
    </row>
    <row r="30" spans="1:15" s="8" customFormat="1" x14ac:dyDescent="0.25">
      <c r="A30" s="10" t="s">
        <v>59</v>
      </c>
    </row>
    <row r="31" spans="1:15" x14ac:dyDescent="0.25">
      <c r="A31" s="6"/>
    </row>
    <row r="32" spans="1:15" x14ac:dyDescent="0.25">
      <c r="A32" s="6"/>
      <c r="B32" t="s">
        <v>10</v>
      </c>
      <c r="C32" t="s">
        <v>11</v>
      </c>
      <c r="D32" t="s">
        <v>12</v>
      </c>
      <c r="F32" t="s">
        <v>13</v>
      </c>
      <c r="G32" t="s">
        <v>14</v>
      </c>
      <c r="H32" t="s">
        <v>15</v>
      </c>
      <c r="I32" t="s">
        <v>16</v>
      </c>
      <c r="K32" t="s">
        <v>17</v>
      </c>
      <c r="L32" t="s">
        <v>14</v>
      </c>
      <c r="M32" t="s">
        <v>15</v>
      </c>
      <c r="N32" t="s">
        <v>18</v>
      </c>
      <c r="O32" t="s">
        <v>19</v>
      </c>
    </row>
    <row r="33" spans="1:15" x14ac:dyDescent="0.25">
      <c r="A33" s="6">
        <v>18129.61</v>
      </c>
      <c r="B33" s="6">
        <f>B$48</f>
        <v>22095.92142857143</v>
      </c>
      <c r="C33" s="6">
        <f>$A33-B33</f>
        <v>-3966.3114285714291</v>
      </c>
      <c r="D33" s="6">
        <f>C33^2</f>
        <v>15731626.34841633</v>
      </c>
      <c r="F33">
        <f>INDEX(G$48:H$48,MATCH(I33,G33:H33,0))</f>
        <v>20804.339019593139</v>
      </c>
      <c r="G33">
        <f>($A33-G$48)^2</f>
        <v>7154175.3282536706</v>
      </c>
      <c r="H33">
        <f>($A33-H$48)^2</f>
        <v>51771874.338106319</v>
      </c>
      <c r="I33" s="6">
        <f>MIN(G33:H33)</f>
        <v>7154175.3282536706</v>
      </c>
      <c r="K33">
        <f>INDEX(L$48:N$48,MATCH(O33,L33:N33,0))</f>
        <v>18169.690001864379</v>
      </c>
      <c r="L33">
        <f>($A33-L$48)^2</f>
        <v>1606.4065494485899</v>
      </c>
      <c r="M33">
        <f>($A33-M$48)^2</f>
        <v>11111497.215743158</v>
      </c>
      <c r="N33">
        <f>($A33-N$48)^2</f>
        <v>51771874.451436676</v>
      </c>
      <c r="O33" s="6">
        <f>MIN(L33:N33)</f>
        <v>1606.4065494485899</v>
      </c>
    </row>
    <row r="34" spans="1:15" x14ac:dyDescent="0.25">
      <c r="A34" s="6">
        <v>18209.77</v>
      </c>
      <c r="B34" s="6">
        <f t="shared" ref="B34:B46" si="0">B$48</f>
        <v>22095.92142857143</v>
      </c>
      <c r="C34" s="6">
        <f t="shared" ref="C34:C46" si="1">$A34-B34</f>
        <v>-3886.1514285714293</v>
      </c>
      <c r="D34" s="6">
        <f t="shared" ref="D34:D46" si="2">C34^2</f>
        <v>15102172.92578776</v>
      </c>
      <c r="F34">
        <f t="shared" ref="F34:F46" si="3">INDEX(G$48:H$48,MATCH(I34,G34:H34,0))</f>
        <v>20804.339019593139</v>
      </c>
      <c r="G34">
        <f t="shared" ref="G34:H46" si="4">($A34-G$48)^2</f>
        <v>6731788.3974324996</v>
      </c>
      <c r="H34">
        <f t="shared" si="4"/>
        <v>50624754.678757496</v>
      </c>
      <c r="I34" s="6">
        <f t="shared" ref="I34:I46" si="5">MIN(G34:H34)</f>
        <v>6731788.3974324996</v>
      </c>
      <c r="K34">
        <f t="shared" ref="K34:K46" si="6">INDEX(L$48:N$48,MATCH(O34,L34:N34,0))</f>
        <v>18169.690001864379</v>
      </c>
      <c r="L34">
        <f t="shared" ref="L34:N46" si="7">($A34-L$48)^2</f>
        <v>1606.4062505514053</v>
      </c>
      <c r="M34">
        <f t="shared" si="7"/>
        <v>10583513.556379627</v>
      </c>
      <c r="N34">
        <f t="shared" si="7"/>
        <v>50624754.790825278</v>
      </c>
      <c r="O34" s="6">
        <f t="shared" ref="O34:O45" si="8">MIN(L34:N34)</f>
        <v>1606.4062505514053</v>
      </c>
    </row>
    <row r="35" spans="1:15" x14ac:dyDescent="0.25">
      <c r="A35" s="6">
        <v>21036.78</v>
      </c>
      <c r="B35" s="6">
        <f t="shared" si="0"/>
        <v>22095.92142857143</v>
      </c>
      <c r="C35" s="6">
        <f t="shared" si="1"/>
        <v>-1059.1414285714309</v>
      </c>
      <c r="D35" s="6">
        <f t="shared" si="2"/>
        <v>1121780.5657163314</v>
      </c>
      <c r="F35">
        <f t="shared" si="3"/>
        <v>20804.339019593139</v>
      </c>
      <c r="G35">
        <f t="shared" si="4"/>
        <v>54028.809372502292</v>
      </c>
      <c r="H35">
        <f t="shared" si="4"/>
        <v>18387780.1346724</v>
      </c>
      <c r="I35" s="6">
        <f t="shared" si="5"/>
        <v>54028.809372502292</v>
      </c>
      <c r="K35">
        <f t="shared" si="6"/>
        <v>21463.001248525015</v>
      </c>
      <c r="L35">
        <f t="shared" si="7"/>
        <v>8220205.0574093079</v>
      </c>
      <c r="M35">
        <f t="shared" si="7"/>
        <v>181664.55269422394</v>
      </c>
      <c r="N35">
        <f t="shared" si="7"/>
        <v>18387780.202212851</v>
      </c>
      <c r="O35" s="6">
        <f t="shared" si="8"/>
        <v>181664.55269422394</v>
      </c>
    </row>
    <row r="36" spans="1:15" x14ac:dyDescent="0.25">
      <c r="A36" s="6">
        <v>21184.73</v>
      </c>
      <c r="B36" s="6">
        <f t="shared" si="0"/>
        <v>22095.92142857143</v>
      </c>
      <c r="C36" s="6">
        <f t="shared" si="1"/>
        <v>-911.19142857143015</v>
      </c>
      <c r="D36" s="6">
        <f t="shared" si="2"/>
        <v>830269.81950204365</v>
      </c>
      <c r="F36">
        <f t="shared" si="3"/>
        <v>20804.339019593139</v>
      </c>
      <c r="G36">
        <f t="shared" si="4"/>
        <v>144697.29797489272</v>
      </c>
      <c r="H36">
        <f t="shared" si="4"/>
        <v>17140821.288124248</v>
      </c>
      <c r="I36" s="6">
        <f t="shared" si="5"/>
        <v>144697.29797489272</v>
      </c>
      <c r="K36">
        <f t="shared" si="6"/>
        <v>21463.001248525015</v>
      </c>
      <c r="L36">
        <f t="shared" si="7"/>
        <v>9090466.1903576422</v>
      </c>
      <c r="M36">
        <f t="shared" si="7"/>
        <v>77434.887755671123</v>
      </c>
      <c r="N36">
        <f t="shared" si="7"/>
        <v>17140821.353334386</v>
      </c>
      <c r="O36" s="6">
        <f t="shared" si="8"/>
        <v>77434.887755671123</v>
      </c>
    </row>
    <row r="37" spans="1:15" x14ac:dyDescent="0.25">
      <c r="A37" s="6">
        <v>21279.07</v>
      </c>
      <c r="B37" s="6">
        <f t="shared" si="0"/>
        <v>22095.92142857143</v>
      </c>
      <c r="C37" s="6">
        <f t="shared" si="1"/>
        <v>-816.85142857143001</v>
      </c>
      <c r="D37" s="6">
        <f t="shared" si="2"/>
        <v>667246.25635918602</v>
      </c>
      <c r="F37">
        <f t="shared" si="3"/>
        <v>20804.339019593139</v>
      </c>
      <c r="G37">
        <f t="shared" si="4"/>
        <v>225369.50375805935</v>
      </c>
      <c r="H37">
        <f t="shared" si="4"/>
        <v>16368558.294190606</v>
      </c>
      <c r="I37" s="6">
        <f t="shared" si="5"/>
        <v>225369.50375805935</v>
      </c>
      <c r="K37">
        <f t="shared" si="6"/>
        <v>21463.001248525015</v>
      </c>
      <c r="L37">
        <f t="shared" si="7"/>
        <v>9668243.9728058726</v>
      </c>
      <c r="M37">
        <f t="shared" si="7"/>
        <v>33830.704183971087</v>
      </c>
      <c r="N37">
        <f t="shared" si="7"/>
        <v>16368558.357914826</v>
      </c>
      <c r="O37" s="6">
        <f t="shared" si="8"/>
        <v>33830.704183971087</v>
      </c>
    </row>
    <row r="38" spans="1:15" x14ac:dyDescent="0.25">
      <c r="A38" s="6">
        <v>21373.63</v>
      </c>
      <c r="B38" s="6">
        <f t="shared" si="0"/>
        <v>22095.92142857143</v>
      </c>
      <c r="C38" s="6">
        <f t="shared" si="1"/>
        <v>-722.2914285714287</v>
      </c>
      <c r="D38" s="6">
        <f t="shared" si="2"/>
        <v>521704.90778775531</v>
      </c>
      <c r="F38">
        <f t="shared" si="3"/>
        <v>20804.339019593139</v>
      </c>
      <c r="G38">
        <f t="shared" si="4"/>
        <v>324092.22037260636</v>
      </c>
      <c r="H38">
        <f t="shared" si="4"/>
        <v>15612356.774158742</v>
      </c>
      <c r="I38" s="6">
        <f t="shared" si="5"/>
        <v>324092.22037260636</v>
      </c>
      <c r="K38">
        <f t="shared" si="6"/>
        <v>21463.001248525015</v>
      </c>
      <c r="L38">
        <f t="shared" si="7"/>
        <v>10265231.511653289</v>
      </c>
      <c r="M38">
        <f t="shared" si="7"/>
        <v>7987.2200629198851</v>
      </c>
      <c r="N38">
        <f t="shared" si="7"/>
        <v>15612356.836393578</v>
      </c>
      <c r="O38" s="6">
        <f t="shared" si="8"/>
        <v>7987.2200629198851</v>
      </c>
    </row>
    <row r="39" spans="1:15" x14ac:dyDescent="0.25">
      <c r="A39" s="6">
        <v>21563.91</v>
      </c>
      <c r="B39" s="6">
        <f t="shared" si="0"/>
        <v>22095.92142857143</v>
      </c>
      <c r="C39" s="6">
        <f t="shared" si="1"/>
        <v>-532.01142857142986</v>
      </c>
      <c r="D39" s="6">
        <f t="shared" si="2"/>
        <v>283036.1601306136</v>
      </c>
      <c r="F39">
        <f t="shared" si="3"/>
        <v>20804.339019593139</v>
      </c>
      <c r="G39">
        <f t="shared" si="4"/>
        <v>576948.07427624008</v>
      </c>
      <c r="H39">
        <f t="shared" si="4"/>
        <v>14144876.505504468</v>
      </c>
      <c r="I39" s="6">
        <f t="shared" si="5"/>
        <v>576948.07427624008</v>
      </c>
      <c r="K39">
        <f t="shared" si="6"/>
        <v>21463.001248525015</v>
      </c>
      <c r="L39">
        <f t="shared" si="7"/>
        <v>11520729.395743772</v>
      </c>
      <c r="M39">
        <f t="shared" si="7"/>
        <v>10182.576124240177</v>
      </c>
      <c r="N39">
        <f t="shared" si="7"/>
        <v>14144876.564742265</v>
      </c>
      <c r="O39" s="6">
        <f t="shared" si="8"/>
        <v>10182.576124240177</v>
      </c>
    </row>
    <row r="40" spans="1:15" x14ac:dyDescent="0.25">
      <c r="A40" s="6">
        <v>21659.38</v>
      </c>
      <c r="B40" s="6">
        <f t="shared" si="0"/>
        <v>22095.92142857143</v>
      </c>
      <c r="C40" s="6">
        <f t="shared" si="1"/>
        <v>-436.5414285714287</v>
      </c>
      <c r="D40" s="6">
        <f t="shared" si="2"/>
        <v>190568.41885918379</v>
      </c>
      <c r="F40">
        <f t="shared" si="3"/>
        <v>20804.339019593139</v>
      </c>
      <c r="G40">
        <f t="shared" si="4"/>
        <v>731095.07817512809</v>
      </c>
      <c r="H40">
        <f t="shared" si="4"/>
        <v>13435871.892729999</v>
      </c>
      <c r="I40" s="6">
        <f t="shared" si="5"/>
        <v>731095.07817512809</v>
      </c>
      <c r="K40">
        <f t="shared" si="6"/>
        <v>21463.001248525015</v>
      </c>
      <c r="L40">
        <f t="shared" si="7"/>
        <v>12177936.283087796</v>
      </c>
      <c r="M40">
        <f t="shared" si="7"/>
        <v>38564.614030874167</v>
      </c>
      <c r="N40">
        <f t="shared" si="7"/>
        <v>13435871.950464079</v>
      </c>
      <c r="O40" s="6">
        <f t="shared" si="8"/>
        <v>38564.614030874167</v>
      </c>
    </row>
    <row r="41" spans="1:15" x14ac:dyDescent="0.25">
      <c r="A41" s="6">
        <v>21755.19</v>
      </c>
      <c r="B41" s="6">
        <f t="shared" si="0"/>
        <v>22095.92142857143</v>
      </c>
      <c r="C41" s="6">
        <f t="shared" si="1"/>
        <v>-340.73142857143102</v>
      </c>
      <c r="D41" s="6">
        <f t="shared" si="2"/>
        <v>116097.9064163282</v>
      </c>
      <c r="F41">
        <f t="shared" si="3"/>
        <v>20804.339019593139</v>
      </c>
      <c r="G41">
        <f t="shared" si="4"/>
        <v>904117.58694068668</v>
      </c>
      <c r="H41">
        <f t="shared" si="4"/>
        <v>12742668.818658318</v>
      </c>
      <c r="I41" s="6">
        <f t="shared" si="5"/>
        <v>904117.58694068668</v>
      </c>
      <c r="K41">
        <f t="shared" si="6"/>
        <v>21463.001248525015</v>
      </c>
      <c r="L41">
        <f t="shared" si="7"/>
        <v>12855810.236630527</v>
      </c>
      <c r="M41">
        <f t="shared" si="7"/>
        <v>85374.266488509544</v>
      </c>
      <c r="N41">
        <f t="shared" si="7"/>
        <v>12742668.874883324</v>
      </c>
      <c r="O41" s="6">
        <f t="shared" si="8"/>
        <v>85374.266488509544</v>
      </c>
    </row>
    <row r="42" spans="1:15" x14ac:dyDescent="0.25">
      <c r="A42" s="6">
        <v>21851.32</v>
      </c>
      <c r="B42" s="6">
        <f t="shared" si="0"/>
        <v>22095.92142857143</v>
      </c>
      <c r="C42" s="6">
        <f t="shared" si="1"/>
        <v>-244.60142857143001</v>
      </c>
      <c r="D42" s="6">
        <f t="shared" si="2"/>
        <v>59829.858859184373</v>
      </c>
      <c r="F42">
        <f t="shared" si="3"/>
        <v>20804.339019593139</v>
      </c>
      <c r="G42">
        <f t="shared" si="4"/>
        <v>1096169.1733337117</v>
      </c>
      <c r="H42">
        <f t="shared" si="4"/>
        <v>12065601.677589212</v>
      </c>
      <c r="I42" s="6">
        <f t="shared" si="5"/>
        <v>1096169.1733337117</v>
      </c>
      <c r="K42">
        <f t="shared" si="6"/>
        <v>21463.001248525015</v>
      </c>
      <c r="L42">
        <f t="shared" si="7"/>
        <v>13554399.44317209</v>
      </c>
      <c r="M42">
        <f t="shared" si="7"/>
        <v>150791.45274709063</v>
      </c>
      <c r="N42">
        <f t="shared" si="7"/>
        <v>12065601.732300105</v>
      </c>
      <c r="O42" s="6">
        <f t="shared" si="8"/>
        <v>150791.45274709063</v>
      </c>
    </row>
    <row r="43" spans="1:15" x14ac:dyDescent="0.25">
      <c r="A43" s="6">
        <v>25157.040000000001</v>
      </c>
      <c r="B43" s="6">
        <f t="shared" si="0"/>
        <v>22095.92142857143</v>
      </c>
      <c r="C43" s="6">
        <f t="shared" si="1"/>
        <v>3061.1185714285712</v>
      </c>
      <c r="D43" s="6">
        <f t="shared" si="2"/>
        <v>9370446.9083448965</v>
      </c>
      <c r="F43">
        <f t="shared" si="3"/>
        <v>25324.877495938308</v>
      </c>
      <c r="G43">
        <f t="shared" si="4"/>
        <v>18946005.824834857</v>
      </c>
      <c r="H43">
        <f t="shared" si="4"/>
        <v>28169.425042841303</v>
      </c>
      <c r="I43" s="6">
        <f t="shared" si="5"/>
        <v>28169.425042841303</v>
      </c>
      <c r="K43">
        <f t="shared" si="6"/>
        <v>25324.877503813648</v>
      </c>
      <c r="L43">
        <f t="shared" si="7"/>
        <v>48823059.996445872</v>
      </c>
      <c r="M43">
        <f t="shared" si="7"/>
        <v>13645922.297398869</v>
      </c>
      <c r="N43">
        <f t="shared" si="7"/>
        <v>28169.427686396088</v>
      </c>
      <c r="O43" s="6">
        <f t="shared" si="8"/>
        <v>28169.427686396088</v>
      </c>
    </row>
    <row r="44" spans="1:15" x14ac:dyDescent="0.25">
      <c r="A44" s="6">
        <v>25268.95</v>
      </c>
      <c r="B44" s="6">
        <f t="shared" si="0"/>
        <v>22095.92142857143</v>
      </c>
      <c r="C44" s="6">
        <f t="shared" si="1"/>
        <v>3173.028571428571</v>
      </c>
      <c r="D44" s="6">
        <f t="shared" si="2"/>
        <v>10068110.315102039</v>
      </c>
      <c r="F44">
        <f t="shared" si="3"/>
        <v>25324.877495938308</v>
      </c>
      <c r="G44">
        <f t="shared" si="4"/>
        <v>19932751.206369519</v>
      </c>
      <c r="H44">
        <f t="shared" si="4"/>
        <v>3127.884801929391</v>
      </c>
      <c r="I44" s="6">
        <f t="shared" si="5"/>
        <v>3127.884801929391</v>
      </c>
      <c r="K44">
        <f t="shared" si="6"/>
        <v>25324.877503813648</v>
      </c>
      <c r="L44">
        <f t="shared" si="7"/>
        <v>50399492.521128587</v>
      </c>
      <c r="M44">
        <f t="shared" si="7"/>
        <v>14485245.898854</v>
      </c>
      <c r="N44">
        <f t="shared" si="7"/>
        <v>3127.8856828255548</v>
      </c>
      <c r="O44" s="6">
        <f t="shared" si="8"/>
        <v>3127.8856828255548</v>
      </c>
    </row>
    <row r="45" spans="1:15" x14ac:dyDescent="0.25">
      <c r="A45" s="6">
        <v>25380.71</v>
      </c>
      <c r="B45" s="6">
        <f t="shared" si="0"/>
        <v>22095.92142857143</v>
      </c>
      <c r="C45" s="6">
        <f t="shared" si="1"/>
        <v>3284.7885714285694</v>
      </c>
      <c r="D45" s="6">
        <f t="shared" si="2"/>
        <v>10789835.958987743</v>
      </c>
      <c r="F45">
        <f t="shared" si="3"/>
        <v>25324.877495938308</v>
      </c>
      <c r="G45">
        <f t="shared" si="4"/>
        <v>20943171.350310046</v>
      </c>
      <c r="H45">
        <f t="shared" si="4"/>
        <v>3117.2685097987419</v>
      </c>
      <c r="I45" s="6">
        <f t="shared" si="5"/>
        <v>3117.2685097987419</v>
      </c>
      <c r="K45">
        <f t="shared" si="6"/>
        <v>25324.877503813648</v>
      </c>
      <c r="L45">
        <f t="shared" si="7"/>
        <v>51998809.413511835</v>
      </c>
      <c r="M45">
        <f t="shared" si="7"/>
        <v>15348441.861383677</v>
      </c>
      <c r="N45">
        <f t="shared" si="7"/>
        <v>3117.2676303988887</v>
      </c>
      <c r="O45" s="6">
        <f t="shared" si="8"/>
        <v>3117.2676303988887</v>
      </c>
    </row>
    <row r="46" spans="1:15" x14ac:dyDescent="0.25">
      <c r="A46" s="6">
        <v>25492.81</v>
      </c>
      <c r="B46" s="6">
        <f t="shared" si="0"/>
        <v>22095.92142857143</v>
      </c>
      <c r="C46" s="6">
        <f t="shared" si="1"/>
        <v>3396.8885714285716</v>
      </c>
      <c r="D46" s="6">
        <f t="shared" si="2"/>
        <v>11538851.966702042</v>
      </c>
      <c r="F46">
        <f t="shared" si="3"/>
        <v>25324.877495938308</v>
      </c>
      <c r="G46">
        <f t="shared" si="4"/>
        <v>21981760.134117287</v>
      </c>
      <c r="H46">
        <f t="shared" si="4"/>
        <v>28201.325920430598</v>
      </c>
      <c r="I46" s="6">
        <f t="shared" si="5"/>
        <v>28201.325920430598</v>
      </c>
      <c r="K46">
        <f t="shared" si="6"/>
        <v>25324.877503813648</v>
      </c>
      <c r="L46">
        <f t="shared" si="7"/>
        <v>53628086.507093877</v>
      </c>
      <c r="M46">
        <f t="shared" si="7"/>
        <v>16239358.573464384</v>
      </c>
      <c r="N46">
        <f t="shared" si="7"/>
        <v>28201.323275379495</v>
      </c>
      <c r="O46" s="6">
        <f t="shared" ref="O46" si="9">MIN(L46:N46)</f>
        <v>28201.323275379495</v>
      </c>
    </row>
    <row r="47" spans="1:15" ht="18" x14ac:dyDescent="0.35">
      <c r="B47" s="7" t="s">
        <v>9</v>
      </c>
      <c r="D47" s="6">
        <f>SUM(D33:D46)</f>
        <v>76391578.316971436</v>
      </c>
      <c r="I47" s="6">
        <f>SUM(I33:I46)</f>
        <v>18005097.374164991</v>
      </c>
      <c r="O47" s="6">
        <f>SUM(O33:O46)</f>
        <v>651658.99116250058</v>
      </c>
    </row>
    <row r="48" spans="1:15" x14ac:dyDescent="0.25">
      <c r="B48" s="6">
        <f>AVERAGE(A33:A46)</f>
        <v>22095.92142857143</v>
      </c>
      <c r="G48">
        <v>20804.339019593139</v>
      </c>
      <c r="H48">
        <v>25324.877495938308</v>
      </c>
      <c r="L48">
        <v>18169.690001864379</v>
      </c>
      <c r="M48">
        <v>21463.001248525015</v>
      </c>
      <c r="N48">
        <v>25324.877503813648</v>
      </c>
    </row>
    <row r="49" spans="1:13" x14ac:dyDescent="0.25">
      <c r="L49">
        <f>M48-L48</f>
        <v>3293.3112466606362</v>
      </c>
      <c r="M49">
        <f>N48-M48</f>
        <v>3861.8762552886328</v>
      </c>
    </row>
    <row r="51" spans="1:13" s="8" customFormat="1" x14ac:dyDescent="0.25">
      <c r="A51" s="8" t="s">
        <v>60</v>
      </c>
    </row>
    <row r="53" spans="1:13" x14ac:dyDescent="0.25">
      <c r="A53" s="6">
        <v>18129.61</v>
      </c>
      <c r="B53">
        <v>0</v>
      </c>
    </row>
    <row r="54" spans="1:13" x14ac:dyDescent="0.25">
      <c r="A54" s="6">
        <v>18209.77</v>
      </c>
      <c r="B54">
        <v>0</v>
      </c>
    </row>
    <row r="55" spans="1:13" x14ac:dyDescent="0.25">
      <c r="A55" s="6">
        <v>21036.78</v>
      </c>
      <c r="B55">
        <v>0</v>
      </c>
    </row>
    <row r="56" spans="1:13" x14ac:dyDescent="0.25">
      <c r="A56" s="6">
        <v>21184.73</v>
      </c>
      <c r="B56">
        <v>0</v>
      </c>
    </row>
    <row r="57" spans="1:13" x14ac:dyDescent="0.25">
      <c r="A57" s="6">
        <v>21279.07</v>
      </c>
      <c r="B57">
        <v>0</v>
      </c>
    </row>
    <row r="58" spans="1:13" x14ac:dyDescent="0.25">
      <c r="A58" s="6">
        <v>21373.63</v>
      </c>
      <c r="B58">
        <v>0</v>
      </c>
    </row>
    <row r="59" spans="1:13" x14ac:dyDescent="0.25">
      <c r="A59" s="6">
        <v>21563.91</v>
      </c>
      <c r="B59">
        <v>0</v>
      </c>
    </row>
    <row r="60" spans="1:13" x14ac:dyDescent="0.25">
      <c r="A60" s="6">
        <v>21659.38</v>
      </c>
      <c r="B60">
        <v>0</v>
      </c>
    </row>
    <row r="61" spans="1:13" x14ac:dyDescent="0.25">
      <c r="A61" s="6">
        <v>21755.19</v>
      </c>
      <c r="B61">
        <v>0</v>
      </c>
    </row>
    <row r="62" spans="1:13" x14ac:dyDescent="0.25">
      <c r="A62" s="6">
        <v>21851.32</v>
      </c>
      <c r="B62">
        <v>0</v>
      </c>
    </row>
    <row r="63" spans="1:13" x14ac:dyDescent="0.25">
      <c r="A63" s="6">
        <v>25157.040000000001</v>
      </c>
      <c r="B63">
        <v>0</v>
      </c>
    </row>
    <row r="64" spans="1:13" x14ac:dyDescent="0.25">
      <c r="A64" s="6">
        <v>25268.95</v>
      </c>
      <c r="B64">
        <v>0</v>
      </c>
    </row>
    <row r="65" spans="1:7" x14ac:dyDescent="0.25">
      <c r="A65" s="6">
        <v>25380.71</v>
      </c>
      <c r="B65">
        <v>0</v>
      </c>
    </row>
    <row r="66" spans="1:7" x14ac:dyDescent="0.25">
      <c r="A66" s="6">
        <v>25492.81</v>
      </c>
      <c r="B66">
        <v>0</v>
      </c>
    </row>
    <row r="67" spans="1:7" x14ac:dyDescent="0.25">
      <c r="A67">
        <v>22095.921428571426</v>
      </c>
      <c r="B67">
        <v>1</v>
      </c>
    </row>
    <row r="68" spans="1:7" x14ac:dyDescent="0.25">
      <c r="A68">
        <v>20804.339019593139</v>
      </c>
      <c r="B68">
        <v>2</v>
      </c>
    </row>
    <row r="69" spans="1:7" x14ac:dyDescent="0.25">
      <c r="A69">
        <v>25324.877495938308</v>
      </c>
      <c r="B69">
        <v>2</v>
      </c>
      <c r="D69" t="s">
        <v>20</v>
      </c>
      <c r="E69" t="s">
        <v>21</v>
      </c>
      <c r="F69" t="s">
        <v>21</v>
      </c>
    </row>
    <row r="70" spans="1:7" x14ac:dyDescent="0.25">
      <c r="A70">
        <v>18169.690001864379</v>
      </c>
      <c r="B70">
        <v>3</v>
      </c>
      <c r="D70">
        <f>A70/AVERAGE(L$49:M$49)</f>
        <v>5.0787460138296749</v>
      </c>
      <c r="E70">
        <v>5</v>
      </c>
      <c r="F70">
        <v>4</v>
      </c>
    </row>
    <row r="71" spans="1:7" x14ac:dyDescent="0.25">
      <c r="A71">
        <v>21463.001248525015</v>
      </c>
      <c r="B71">
        <v>3</v>
      </c>
      <c r="D71">
        <f t="shared" ref="D71:D72" si="10">A71/AVERAGE(L$49:M$49)</f>
        <v>5.9992840838001538</v>
      </c>
      <c r="E71">
        <v>6</v>
      </c>
      <c r="F71">
        <v>5</v>
      </c>
    </row>
    <row r="72" spans="1:7" x14ac:dyDescent="0.25">
      <c r="A72">
        <v>25324.877503813648</v>
      </c>
      <c r="B72">
        <v>3</v>
      </c>
      <c r="D72">
        <f t="shared" si="10"/>
        <v>7.0787460138296749</v>
      </c>
      <c r="E72">
        <v>7</v>
      </c>
      <c r="F72">
        <v>6</v>
      </c>
    </row>
    <row r="75" spans="1:7" s="8" customFormat="1" x14ac:dyDescent="0.25">
      <c r="A75" s="8" t="s">
        <v>61</v>
      </c>
    </row>
    <row r="77" spans="1:7" x14ac:dyDescent="0.25">
      <c r="B77" t="s">
        <v>22</v>
      </c>
    </row>
    <row r="78" spans="1:7" x14ac:dyDescent="0.25">
      <c r="B78" t="s">
        <v>23</v>
      </c>
      <c r="C78" t="s">
        <v>20</v>
      </c>
      <c r="D78" t="s">
        <v>24</v>
      </c>
    </row>
    <row r="79" spans="1:7" x14ac:dyDescent="0.25">
      <c r="A79" s="6">
        <v>18129.61</v>
      </c>
      <c r="B79">
        <v>4</v>
      </c>
      <c r="C79">
        <f>B79+1</f>
        <v>5</v>
      </c>
      <c r="D79">
        <f>$A79/C79</f>
        <v>3625.922</v>
      </c>
      <c r="F79">
        <f t="shared" ref="F79:F91" si="11">2*F$93*C79</f>
        <v>17987.055521499293</v>
      </c>
      <c r="G79">
        <f>(A79-F79)^2</f>
        <v>20321.779340608755</v>
      </c>
    </row>
    <row r="80" spans="1:7" x14ac:dyDescent="0.25">
      <c r="A80" s="6">
        <v>18209.77</v>
      </c>
      <c r="B80">
        <v>4</v>
      </c>
      <c r="C80">
        <f t="shared" ref="C80:C92" si="12">B80+1</f>
        <v>5</v>
      </c>
      <c r="D80">
        <f t="shared" ref="D80:D92" si="13">$A80/C80</f>
        <v>3641.9540000000002</v>
      </c>
      <c r="F80">
        <f t="shared" si="11"/>
        <v>17987.055521499293</v>
      </c>
      <c r="G80">
        <f t="shared" ref="G80:G92" si="14">(A80-F80)^2</f>
        <v>49601.738933842164</v>
      </c>
    </row>
    <row r="81" spans="1:7" x14ac:dyDescent="0.25">
      <c r="A81" s="6">
        <v>21036.78</v>
      </c>
      <c r="B81">
        <v>5</v>
      </c>
      <c r="C81">
        <f t="shared" si="12"/>
        <v>6</v>
      </c>
      <c r="D81">
        <f t="shared" si="13"/>
        <v>3506.1299999999997</v>
      </c>
      <c r="F81">
        <f t="shared" si="11"/>
        <v>21584.466625799148</v>
      </c>
      <c r="G81">
        <f t="shared" si="14"/>
        <v>299960.64007925772</v>
      </c>
    </row>
    <row r="82" spans="1:7" x14ac:dyDescent="0.25">
      <c r="A82" s="6">
        <v>21184.73</v>
      </c>
      <c r="B82">
        <v>5</v>
      </c>
      <c r="C82">
        <f t="shared" si="12"/>
        <v>6</v>
      </c>
      <c r="D82">
        <f t="shared" si="13"/>
        <v>3530.7883333333334</v>
      </c>
      <c r="F82">
        <f t="shared" si="11"/>
        <v>21584.466625799148</v>
      </c>
      <c r="G82">
        <f t="shared" si="14"/>
        <v>159789.3700052888</v>
      </c>
    </row>
    <row r="83" spans="1:7" x14ac:dyDescent="0.25">
      <c r="A83" s="6">
        <v>21279.07</v>
      </c>
      <c r="B83">
        <v>5</v>
      </c>
      <c r="C83">
        <f t="shared" si="12"/>
        <v>6</v>
      </c>
      <c r="D83">
        <f t="shared" si="13"/>
        <v>3546.5116666666668</v>
      </c>
      <c r="F83">
        <f t="shared" si="11"/>
        <v>21584.466625799148</v>
      </c>
      <c r="G83">
        <f t="shared" si="14"/>
        <v>93267.099049505283</v>
      </c>
    </row>
    <row r="84" spans="1:7" x14ac:dyDescent="0.25">
      <c r="A84" s="6">
        <v>21373.63</v>
      </c>
      <c r="B84">
        <v>5</v>
      </c>
      <c r="C84">
        <f t="shared" si="12"/>
        <v>6</v>
      </c>
      <c r="D84">
        <f t="shared" si="13"/>
        <v>3562.271666666667</v>
      </c>
      <c r="F84">
        <f t="shared" si="11"/>
        <v>21584.466625799148</v>
      </c>
      <c r="G84">
        <f t="shared" si="14"/>
        <v>44452.082778369724</v>
      </c>
    </row>
    <row r="85" spans="1:7" x14ac:dyDescent="0.25">
      <c r="A85" s="6">
        <v>21563.91</v>
      </c>
      <c r="B85">
        <v>5</v>
      </c>
      <c r="C85">
        <f t="shared" si="12"/>
        <v>6</v>
      </c>
      <c r="D85">
        <f t="shared" si="13"/>
        <v>3593.9850000000001</v>
      </c>
      <c r="F85">
        <f t="shared" si="11"/>
        <v>21584.466625799148</v>
      </c>
      <c r="G85">
        <f t="shared" si="14"/>
        <v>422.57486424622203</v>
      </c>
    </row>
    <row r="86" spans="1:7" x14ac:dyDescent="0.25">
      <c r="A86" s="6">
        <v>21659.38</v>
      </c>
      <c r="B86">
        <v>5</v>
      </c>
      <c r="C86">
        <f t="shared" si="12"/>
        <v>6</v>
      </c>
      <c r="D86">
        <f t="shared" si="13"/>
        <v>3609.896666666667</v>
      </c>
      <c r="F86">
        <f t="shared" si="11"/>
        <v>21584.466625799148</v>
      </c>
      <c r="G86">
        <f t="shared" si="14"/>
        <v>5612.0136341569614</v>
      </c>
    </row>
    <row r="87" spans="1:7" x14ac:dyDescent="0.25">
      <c r="A87" s="6">
        <v>21755.19</v>
      </c>
      <c r="B87">
        <v>5</v>
      </c>
      <c r="C87">
        <f t="shared" si="12"/>
        <v>6</v>
      </c>
      <c r="D87">
        <f t="shared" si="13"/>
        <v>3625.8649999999998</v>
      </c>
      <c r="F87">
        <f t="shared" si="11"/>
        <v>21584.466625799148</v>
      </c>
      <c r="G87">
        <f t="shared" si="14"/>
        <v>29146.470498523533</v>
      </c>
    </row>
    <row r="88" spans="1:7" x14ac:dyDescent="0.25">
      <c r="A88" s="6">
        <v>21851.32</v>
      </c>
      <c r="B88">
        <v>5</v>
      </c>
      <c r="C88">
        <f t="shared" si="12"/>
        <v>6</v>
      </c>
      <c r="D88">
        <f t="shared" si="13"/>
        <v>3641.8866666666668</v>
      </c>
      <c r="F88">
        <f t="shared" si="11"/>
        <v>21584.466625799148</v>
      </c>
      <c r="G88">
        <f t="shared" si="14"/>
        <v>71210.723322379548</v>
      </c>
    </row>
    <row r="89" spans="1:7" x14ac:dyDescent="0.25">
      <c r="A89" s="6">
        <v>25157.040000000001</v>
      </c>
      <c r="B89">
        <v>6</v>
      </c>
      <c r="C89">
        <f t="shared" si="12"/>
        <v>7</v>
      </c>
      <c r="D89">
        <f t="shared" si="13"/>
        <v>3593.8628571428571</v>
      </c>
      <c r="F89">
        <f t="shared" si="11"/>
        <v>25181.877730099008</v>
      </c>
      <c r="G89">
        <f t="shared" si="14"/>
        <v>616.91283647111209</v>
      </c>
    </row>
    <row r="90" spans="1:7" x14ac:dyDescent="0.25">
      <c r="A90" s="6">
        <v>25268.95</v>
      </c>
      <c r="B90">
        <v>6</v>
      </c>
      <c r="C90">
        <f t="shared" si="12"/>
        <v>7</v>
      </c>
      <c r="D90">
        <f t="shared" si="13"/>
        <v>3609.85</v>
      </c>
      <c r="F90">
        <f t="shared" si="11"/>
        <v>25181.877730099008</v>
      </c>
      <c r="G90">
        <f t="shared" si="14"/>
        <v>7581.5801857113674</v>
      </c>
    </row>
    <row r="91" spans="1:7" x14ac:dyDescent="0.25">
      <c r="A91" s="6">
        <v>25380.71</v>
      </c>
      <c r="B91">
        <v>6</v>
      </c>
      <c r="C91">
        <f t="shared" si="12"/>
        <v>7</v>
      </c>
      <c r="D91">
        <f t="shared" si="13"/>
        <v>3625.815714285714</v>
      </c>
      <c r="F91">
        <f t="shared" si="11"/>
        <v>25181.877730099008</v>
      </c>
      <c r="G91">
        <f t="shared" si="14"/>
        <v>39534.271553980681</v>
      </c>
    </row>
    <row r="92" spans="1:7" x14ac:dyDescent="0.25">
      <c r="A92" s="6">
        <v>25492.81</v>
      </c>
      <c r="B92">
        <v>6</v>
      </c>
      <c r="C92">
        <f t="shared" si="12"/>
        <v>7</v>
      </c>
      <c r="D92">
        <f t="shared" si="13"/>
        <v>3641.8300000000004</v>
      </c>
      <c r="F92">
        <f>2*F$93*C92</f>
        <v>25181.877730099008</v>
      </c>
      <c r="G92">
        <f t="shared" si="14"/>
        <v>96678.876465784313</v>
      </c>
    </row>
    <row r="93" spans="1:7" x14ac:dyDescent="0.25">
      <c r="A93" s="6"/>
      <c r="E93" t="s">
        <v>25</v>
      </c>
      <c r="F93">
        <v>1798.7055521499292</v>
      </c>
      <c r="G93">
        <f>SUM(G79:G92)</f>
        <v>918196.13354812621</v>
      </c>
    </row>
    <row r="94" spans="1:7" x14ac:dyDescent="0.25">
      <c r="A94" s="6"/>
      <c r="E94" t="s">
        <v>26</v>
      </c>
      <c r="F94">
        <f>F93*1000000/($B$96*100)</f>
        <v>5.9998359003078365E-2</v>
      </c>
    </row>
    <row r="95" spans="1:7" ht="17.25" x14ac:dyDescent="0.25">
      <c r="A95" s="6" t="s">
        <v>27</v>
      </c>
      <c r="B95">
        <v>6.6260700400000001</v>
      </c>
      <c r="C95">
        <v>8.0999999999999997E-8</v>
      </c>
      <c r="E95" t="s">
        <v>28</v>
      </c>
      <c r="F95">
        <f>$B$95*10^-34/(8*F93*10^6*PI()^2)</f>
        <v>4.6655861665864241E-45</v>
      </c>
    </row>
    <row r="96" spans="1:7" x14ac:dyDescent="0.25">
      <c r="A96" s="6" t="s">
        <v>29</v>
      </c>
      <c r="B96">
        <v>299792458</v>
      </c>
      <c r="C96" t="s">
        <v>30</v>
      </c>
      <c r="E96" t="s">
        <v>31</v>
      </c>
      <c r="F96">
        <f>SQRT(F95/($B$97*10^-27*$B$8))</f>
        <v>3.0700221132840351E-10</v>
      </c>
    </row>
    <row r="97" spans="1:4" ht="17.25" x14ac:dyDescent="0.25">
      <c r="A97" s="6" t="s">
        <v>32</v>
      </c>
      <c r="B97">
        <v>1.66053904</v>
      </c>
    </row>
    <row r="98" spans="1:4" ht="17.25" x14ac:dyDescent="0.25">
      <c r="A98" s="6"/>
    </row>
    <row r="99" spans="1:4" s="8" customFormat="1" ht="17.25" x14ac:dyDescent="0.25">
      <c r="A99" s="10" t="s">
        <v>62</v>
      </c>
    </row>
    <row r="102" spans="1:4" x14ac:dyDescent="0.25">
      <c r="A102">
        <v>3625.922</v>
      </c>
      <c r="B102">
        <v>1</v>
      </c>
      <c r="C102">
        <v>4</v>
      </c>
      <c r="D102">
        <f>B102+0.2*(C102-3)</f>
        <v>1.2</v>
      </c>
    </row>
    <row r="103" spans="1:4" x14ac:dyDescent="0.25">
      <c r="A103">
        <v>3641.9540000000002</v>
      </c>
      <c r="B103">
        <v>1</v>
      </c>
      <c r="C103">
        <v>4</v>
      </c>
      <c r="D103">
        <f t="shared" ref="D103:D115" si="15">B103+0.2*(C103-3)</f>
        <v>1.2</v>
      </c>
    </row>
    <row r="104" spans="1:4" x14ac:dyDescent="0.25">
      <c r="A104">
        <v>3506.1299999999997</v>
      </c>
      <c r="B104">
        <v>2</v>
      </c>
      <c r="C104">
        <v>5</v>
      </c>
      <c r="D104">
        <f t="shared" si="15"/>
        <v>2.4</v>
      </c>
    </row>
    <row r="105" spans="1:4" x14ac:dyDescent="0.25">
      <c r="A105">
        <v>3530.7883333333334</v>
      </c>
      <c r="B105">
        <v>1</v>
      </c>
      <c r="C105">
        <v>5</v>
      </c>
      <c r="D105">
        <f t="shared" si="15"/>
        <v>1.4</v>
      </c>
    </row>
    <row r="106" spans="1:4" x14ac:dyDescent="0.25">
      <c r="A106">
        <v>3546.5116666666668</v>
      </c>
      <c r="B106">
        <v>1</v>
      </c>
      <c r="C106">
        <v>5</v>
      </c>
      <c r="D106">
        <f t="shared" si="15"/>
        <v>1.4</v>
      </c>
    </row>
    <row r="107" spans="1:4" x14ac:dyDescent="0.25">
      <c r="A107">
        <v>3562.271666666667</v>
      </c>
      <c r="B107">
        <v>1</v>
      </c>
      <c r="C107">
        <v>5</v>
      </c>
      <c r="D107">
        <f t="shared" si="15"/>
        <v>1.4</v>
      </c>
    </row>
    <row r="108" spans="1:4" x14ac:dyDescent="0.25">
      <c r="A108">
        <v>3593.9850000000001</v>
      </c>
      <c r="B108">
        <v>1</v>
      </c>
      <c r="C108">
        <v>5</v>
      </c>
      <c r="D108">
        <f t="shared" si="15"/>
        <v>1.4</v>
      </c>
    </row>
    <row r="109" spans="1:4" x14ac:dyDescent="0.25">
      <c r="A109">
        <v>3609.896666666667</v>
      </c>
      <c r="B109">
        <v>1</v>
      </c>
      <c r="C109">
        <v>5</v>
      </c>
      <c r="D109">
        <f t="shared" si="15"/>
        <v>1.4</v>
      </c>
    </row>
    <row r="110" spans="1:4" x14ac:dyDescent="0.25">
      <c r="A110">
        <v>3625.8649999999998</v>
      </c>
      <c r="B110">
        <v>1</v>
      </c>
      <c r="C110">
        <v>5</v>
      </c>
      <c r="D110">
        <f t="shared" si="15"/>
        <v>1.4</v>
      </c>
    </row>
    <row r="111" spans="1:4" x14ac:dyDescent="0.25">
      <c r="A111">
        <v>3641.8866666666668</v>
      </c>
      <c r="B111">
        <v>1</v>
      </c>
      <c r="C111">
        <v>5</v>
      </c>
      <c r="D111">
        <f t="shared" si="15"/>
        <v>1.4</v>
      </c>
    </row>
    <row r="112" spans="1:4" x14ac:dyDescent="0.25">
      <c r="A112">
        <v>3593.8628571428571</v>
      </c>
      <c r="B112">
        <v>1</v>
      </c>
      <c r="C112">
        <v>6</v>
      </c>
      <c r="D112">
        <f t="shared" si="15"/>
        <v>1.6</v>
      </c>
    </row>
    <row r="113" spans="1:23" x14ac:dyDescent="0.25">
      <c r="A113">
        <v>3609.85</v>
      </c>
      <c r="B113">
        <v>1</v>
      </c>
      <c r="C113">
        <v>6</v>
      </c>
      <c r="D113">
        <f t="shared" si="15"/>
        <v>1.6</v>
      </c>
    </row>
    <row r="114" spans="1:23" x14ac:dyDescent="0.25">
      <c r="A114">
        <v>3625.815714285714</v>
      </c>
      <c r="B114">
        <v>1</v>
      </c>
      <c r="C114">
        <v>6</v>
      </c>
      <c r="D114">
        <f t="shared" si="15"/>
        <v>1.6</v>
      </c>
    </row>
    <row r="115" spans="1:23" x14ac:dyDescent="0.25">
      <c r="A115">
        <v>3641.8300000000004</v>
      </c>
      <c r="B115">
        <v>1</v>
      </c>
      <c r="C115">
        <v>6</v>
      </c>
      <c r="D115">
        <f t="shared" si="15"/>
        <v>1.6</v>
      </c>
    </row>
    <row r="118" spans="1:23" s="8" customFormat="1" x14ac:dyDescent="0.25">
      <c r="A118" s="8" t="s">
        <v>63</v>
      </c>
    </row>
    <row r="119" spans="1:23" x14ac:dyDescent="0.25">
      <c r="G119" t="s">
        <v>42</v>
      </c>
      <c r="K119" t="s">
        <v>43</v>
      </c>
      <c r="O119" t="s">
        <v>46</v>
      </c>
      <c r="T119" t="s">
        <v>47</v>
      </c>
    </row>
    <row r="120" spans="1:23" ht="18" x14ac:dyDescent="0.35">
      <c r="A120" t="s">
        <v>33</v>
      </c>
      <c r="B120" t="s">
        <v>34</v>
      </c>
      <c r="C120" t="s">
        <v>35</v>
      </c>
      <c r="D120" t="s">
        <v>11</v>
      </c>
      <c r="E120" t="s">
        <v>36</v>
      </c>
      <c r="G120" t="s">
        <v>41</v>
      </c>
    </row>
    <row r="121" spans="1:23" x14ac:dyDescent="0.25">
      <c r="A121">
        <f>A102/2</f>
        <v>1812.961</v>
      </c>
      <c r="B121">
        <v>1</v>
      </c>
      <c r="C121">
        <f>C$136-C$137*($B121+0.5)</f>
        <v>1812.8029930455148</v>
      </c>
      <c r="D121">
        <f>$A121-C121</f>
        <v>0.15800695448524493</v>
      </c>
      <c r="E121">
        <f>D121^2</f>
        <v>2.4966197665702263E-2</v>
      </c>
      <c r="G121">
        <f>G$136-G$137*($B121+0.5)</f>
        <v>1812.9367143010149</v>
      </c>
      <c r="H121">
        <f>$A121-G121</f>
        <v>2.4285698985067938E-2</v>
      </c>
      <c r="I121">
        <f>H121^2</f>
        <v>5.8979517519332984E-4</v>
      </c>
    </row>
    <row r="122" spans="1:23" x14ac:dyDescent="0.25">
      <c r="A122">
        <f>A103/2</f>
        <v>1820.9770000000001</v>
      </c>
      <c r="B122">
        <v>0</v>
      </c>
      <c r="C122">
        <f t="shared" ref="C122:C134" si="16">C$136-C$137*($B122+0.5)</f>
        <v>1820.5321129296851</v>
      </c>
      <c r="D122">
        <f t="shared" ref="D122:D134" si="17">$A122-C122</f>
        <v>0.44488707031496233</v>
      </c>
      <c r="E122">
        <f t="shared" ref="E122:E134" si="18">D122^2</f>
        <v>0.19792450533343023</v>
      </c>
      <c r="G122">
        <f t="shared" ref="G122:G134" si="19">G$136-G$137*($B122+0.5)</f>
        <v>1820.8787976343458</v>
      </c>
      <c r="H122">
        <f t="shared" ref="H122:H134" si="20">$A122-G122</f>
        <v>9.820236565428786E-2</v>
      </c>
      <c r="I122">
        <f t="shared" ref="I122:I134" si="21">H122^2</f>
        <v>9.6437046200984564E-3</v>
      </c>
    </row>
    <row r="123" spans="1:23" s="8" customFormat="1" x14ac:dyDescent="0.25">
      <c r="A123" s="8">
        <f>A104/2</f>
        <v>1753.0649999999998</v>
      </c>
      <c r="B123" s="8">
        <v>9</v>
      </c>
      <c r="C123" s="8">
        <f t="shared" si="16"/>
        <v>1750.9700339721521</v>
      </c>
      <c r="D123" s="8">
        <f t="shared" si="17"/>
        <v>2.094966027847704</v>
      </c>
      <c r="E123" s="8">
        <f t="shared" si="18"/>
        <v>4.3888826578359872</v>
      </c>
      <c r="F123" s="8" t="s">
        <v>40</v>
      </c>
      <c r="G123" s="8">
        <f t="shared" si="19"/>
        <v>1749.4000476343692</v>
      </c>
      <c r="H123" s="8">
        <f t="shared" si="20"/>
        <v>3.6649523656305973</v>
      </c>
      <c r="I123" s="8">
        <f t="shared" si="21"/>
        <v>13.431875842341311</v>
      </c>
      <c r="K123" s="8">
        <f t="shared" ref="K123" si="22">K$136-K$137*($B123+0.5)</f>
        <v>1753.0649999999998</v>
      </c>
      <c r="L123" s="8">
        <f t="shared" ref="L123" si="23">$A123-K123</f>
        <v>0</v>
      </c>
      <c r="M123" s="8">
        <f t="shared" ref="M123" si="24">L123^2</f>
        <v>0</v>
      </c>
      <c r="O123" s="8">
        <v>0</v>
      </c>
      <c r="P123" s="8">
        <f>P$136-P$137*($O123+0.5)</f>
        <v>1753.0650000000001</v>
      </c>
      <c r="Q123" s="8">
        <f t="shared" ref="Q123" si="25">$A123-P123</f>
        <v>0</v>
      </c>
      <c r="R123" s="8">
        <f t="shared" ref="R123" si="26">Q123^2</f>
        <v>0</v>
      </c>
      <c r="T123" s="8">
        <v>1</v>
      </c>
      <c r="U123" s="8">
        <f>U136-U137*($T123+0.5)</f>
        <v>1753.0649999999996</v>
      </c>
      <c r="V123" s="8">
        <f t="shared" ref="V123" si="27">$A123-U123</f>
        <v>0</v>
      </c>
      <c r="W123" s="8">
        <f t="shared" ref="W123" si="28">V123^2</f>
        <v>0</v>
      </c>
    </row>
    <row r="124" spans="1:23" x14ac:dyDescent="0.25">
      <c r="A124">
        <f>A105/2</f>
        <v>1765.3941666666667</v>
      </c>
      <c r="B124">
        <v>7</v>
      </c>
      <c r="C124">
        <f t="shared" si="16"/>
        <v>1766.4282737404928</v>
      </c>
      <c r="D124">
        <f t="shared" si="17"/>
        <v>-1.0341070738261351</v>
      </c>
      <c r="E124">
        <f t="shared" si="18"/>
        <v>1.0693774401372516</v>
      </c>
      <c r="G124">
        <f t="shared" si="19"/>
        <v>1765.2842143010307</v>
      </c>
      <c r="H124">
        <f t="shared" si="20"/>
        <v>0.10995236563599065</v>
      </c>
      <c r="I124">
        <f t="shared" si="21"/>
        <v>1.2089522708950577E-2</v>
      </c>
    </row>
    <row r="125" spans="1:23" x14ac:dyDescent="0.25">
      <c r="A125">
        <f>A106/2</f>
        <v>1773.2558333333334</v>
      </c>
      <c r="B125">
        <v>6</v>
      </c>
      <c r="C125">
        <f t="shared" si="16"/>
        <v>1774.157393624663</v>
      </c>
      <c r="D125">
        <f t="shared" si="17"/>
        <v>-0.90156029132958793</v>
      </c>
      <c r="E125">
        <f t="shared" si="18"/>
        <v>0.81281095890229149</v>
      </c>
      <c r="G125">
        <f t="shared" si="19"/>
        <v>1773.2262976343613</v>
      </c>
      <c r="H125">
        <f t="shared" si="20"/>
        <v>2.9535698972040336E-2</v>
      </c>
      <c r="I125">
        <f t="shared" si="21"/>
        <v>8.7235751376698461E-4</v>
      </c>
    </row>
    <row r="126" spans="1:23" x14ac:dyDescent="0.25">
      <c r="A126">
        <f>A107/2</f>
        <v>1781.1358333333335</v>
      </c>
      <c r="B126">
        <v>5</v>
      </c>
      <c r="C126">
        <f t="shared" si="16"/>
        <v>1781.8865135088333</v>
      </c>
      <c r="D126">
        <f t="shared" si="17"/>
        <v>-0.75068017549983779</v>
      </c>
      <c r="E126">
        <f t="shared" si="18"/>
        <v>0.56352072588846724</v>
      </c>
      <c r="G126">
        <f t="shared" si="19"/>
        <v>1781.168380967692</v>
      </c>
      <c r="H126">
        <f t="shared" si="20"/>
        <v>-3.2547634358479627E-2</v>
      </c>
      <c r="I126">
        <f t="shared" si="21"/>
        <v>1.0593485023332836E-3</v>
      </c>
    </row>
    <row r="127" spans="1:23" x14ac:dyDescent="0.25">
      <c r="A127">
        <f>A108/2</f>
        <v>1796.9925000000001</v>
      </c>
      <c r="B127">
        <v>3</v>
      </c>
      <c r="C127">
        <f t="shared" si="16"/>
        <v>1797.344753277174</v>
      </c>
      <c r="D127">
        <f t="shared" si="17"/>
        <v>-0.35225327717398613</v>
      </c>
      <c r="E127">
        <f t="shared" si="18"/>
        <v>0.1240823712798131</v>
      </c>
      <c r="G127">
        <f t="shared" si="19"/>
        <v>1797.0525476343535</v>
      </c>
      <c r="H127">
        <f t="shared" si="20"/>
        <v>-6.0047634353395551E-2</v>
      </c>
      <c r="I127">
        <f t="shared" si="21"/>
        <v>3.6057183914390894E-3</v>
      </c>
    </row>
    <row r="128" spans="1:23" x14ac:dyDescent="0.25">
      <c r="A128">
        <f>A109/2</f>
        <v>1804.9483333333335</v>
      </c>
      <c r="B128">
        <v>2</v>
      </c>
      <c r="C128">
        <f t="shared" si="16"/>
        <v>1805.0738731613444</v>
      </c>
      <c r="D128">
        <f t="shared" si="17"/>
        <v>-0.12553982801091479</v>
      </c>
      <c r="E128">
        <f t="shared" si="18"/>
        <v>1.5760248417010066E-2</v>
      </c>
      <c r="G128">
        <f t="shared" si="19"/>
        <v>1804.9946309676843</v>
      </c>
      <c r="H128">
        <f t="shared" si="20"/>
        <v>-4.6297634350821681E-2</v>
      </c>
      <c r="I128">
        <f t="shared" si="21"/>
        <v>2.1434709464823835E-3</v>
      </c>
    </row>
    <row r="129" spans="1:23" x14ac:dyDescent="0.25">
      <c r="A129">
        <f>A110/2</f>
        <v>1812.9324999999999</v>
      </c>
      <c r="B129">
        <v>1</v>
      </c>
      <c r="C129">
        <f t="shared" si="16"/>
        <v>1812.8029930455148</v>
      </c>
      <c r="D129">
        <f t="shared" si="17"/>
        <v>0.12950695448512306</v>
      </c>
      <c r="E129">
        <f t="shared" si="18"/>
        <v>1.6772051260011737E-2</v>
      </c>
      <c r="G129">
        <f t="shared" si="19"/>
        <v>1812.9367143010149</v>
      </c>
      <c r="H129">
        <f t="shared" si="20"/>
        <v>-4.214301015053934E-3</v>
      </c>
      <c r="I129">
        <f t="shared" si="21"/>
        <v>1.7760333045484619E-5</v>
      </c>
    </row>
    <row r="130" spans="1:23" x14ac:dyDescent="0.25">
      <c r="A130">
        <f>A111/2</f>
        <v>1820.9433333333334</v>
      </c>
      <c r="B130">
        <v>0</v>
      </c>
      <c r="C130">
        <f t="shared" si="16"/>
        <v>1820.5321129296851</v>
      </c>
      <c r="D130">
        <f t="shared" si="17"/>
        <v>0.41122040364825807</v>
      </c>
      <c r="E130">
        <f t="shared" si="18"/>
        <v>0.1691022203766363</v>
      </c>
      <c r="G130">
        <f t="shared" si="19"/>
        <v>1820.8787976343458</v>
      </c>
      <c r="H130">
        <f t="shared" si="20"/>
        <v>6.4535698987583601E-2</v>
      </c>
      <c r="I130">
        <f t="shared" si="21"/>
        <v>4.1648564438159993E-3</v>
      </c>
    </row>
    <row r="131" spans="1:23" x14ac:dyDescent="0.25">
      <c r="A131">
        <f>A112/2</f>
        <v>1796.9314285714286</v>
      </c>
      <c r="B131">
        <v>3</v>
      </c>
      <c r="C131">
        <f t="shared" si="16"/>
        <v>1797.344753277174</v>
      </c>
      <c r="D131">
        <f t="shared" si="17"/>
        <v>-0.41332470574548097</v>
      </c>
      <c r="E131">
        <f t="shared" si="18"/>
        <v>0.17083731237958844</v>
      </c>
      <c r="G131">
        <f t="shared" si="19"/>
        <v>1797.0525476343535</v>
      </c>
      <c r="H131">
        <f t="shared" si="20"/>
        <v>-0.12111906292489039</v>
      </c>
      <c r="I131">
        <f t="shared" si="21"/>
        <v>1.4669827403803556E-2</v>
      </c>
    </row>
    <row r="132" spans="1:23" x14ac:dyDescent="0.25">
      <c r="A132">
        <f>A113/2</f>
        <v>1804.925</v>
      </c>
      <c r="B132">
        <v>2</v>
      </c>
      <c r="C132">
        <f t="shared" si="16"/>
        <v>1805.0738731613444</v>
      </c>
      <c r="D132">
        <f t="shared" si="17"/>
        <v>-0.14887316134445427</v>
      </c>
      <c r="E132">
        <f t="shared" si="18"/>
        <v>2.2163218168691913E-2</v>
      </c>
      <c r="G132">
        <f t="shared" si="19"/>
        <v>1804.9946309676843</v>
      </c>
      <c r="H132">
        <f t="shared" si="20"/>
        <v>-6.9630967684361167E-2</v>
      </c>
      <c r="I132">
        <f t="shared" si="21"/>
        <v>4.8484716606605489E-3</v>
      </c>
    </row>
    <row r="133" spans="1:23" x14ac:dyDescent="0.25">
      <c r="A133">
        <f>A114/2</f>
        <v>1812.907857142857</v>
      </c>
      <c r="B133">
        <v>1</v>
      </c>
      <c r="C133">
        <f t="shared" si="16"/>
        <v>1812.8029930455148</v>
      </c>
      <c r="D133">
        <f t="shared" si="17"/>
        <v>0.10486409734221525</v>
      </c>
      <c r="E133">
        <f t="shared" si="18"/>
        <v>1.0996478911397595E-2</v>
      </c>
      <c r="G133">
        <f t="shared" si="19"/>
        <v>1812.9367143010149</v>
      </c>
      <c r="H133">
        <f t="shared" si="20"/>
        <v>-2.8857158157961749E-2</v>
      </c>
      <c r="I133">
        <f t="shared" si="21"/>
        <v>8.3273557695361826E-4</v>
      </c>
    </row>
    <row r="134" spans="1:23" x14ac:dyDescent="0.25">
      <c r="A134">
        <f>A115/2</f>
        <v>1820.9150000000002</v>
      </c>
      <c r="B134">
        <v>0</v>
      </c>
      <c r="C134">
        <f t="shared" si="16"/>
        <v>1820.5321129296851</v>
      </c>
      <c r="D134">
        <f t="shared" si="17"/>
        <v>0.38288707031506419</v>
      </c>
      <c r="E134">
        <f t="shared" si="18"/>
        <v>0.1466025086144529</v>
      </c>
      <c r="G134">
        <f t="shared" si="19"/>
        <v>1820.8787976343458</v>
      </c>
      <c r="H134">
        <f t="shared" si="20"/>
        <v>3.6202365654389723E-2</v>
      </c>
      <c r="I134">
        <f t="shared" si="21"/>
        <v>1.3106112789741367E-3</v>
      </c>
    </row>
    <row r="135" spans="1:23" x14ac:dyDescent="0.25">
      <c r="E135">
        <f>SUM(E121:E134)</f>
        <v>7.7337988951707306</v>
      </c>
      <c r="I135">
        <f>SUM(I121:I122,I124:I134)</f>
        <v>5.5848180555517449E-2</v>
      </c>
      <c r="M135">
        <f>SUM(M123)</f>
        <v>0</v>
      </c>
      <c r="R135">
        <f>SUM(R123)</f>
        <v>0</v>
      </c>
      <c r="W135">
        <f>SUM(W123)</f>
        <v>0</v>
      </c>
    </row>
    <row r="136" spans="1:23" ht="18" x14ac:dyDescent="0.35">
      <c r="A136" t="s">
        <v>37</v>
      </c>
      <c r="C136">
        <v>1824.3966728717703</v>
      </c>
      <c r="G136">
        <v>1824.8498393010111</v>
      </c>
      <c r="K136">
        <v>1828.5085372274082</v>
      </c>
      <c r="P136">
        <v>1757.0360495259329</v>
      </c>
      <c r="U136">
        <v>1764.9777836008964</v>
      </c>
    </row>
    <row r="137" spans="1:23" ht="18" x14ac:dyDescent="0.35">
      <c r="A137" t="s">
        <v>38</v>
      </c>
      <c r="C137">
        <v>7.7291198841703421</v>
      </c>
      <c r="G137">
        <v>7.9420833333307321</v>
      </c>
      <c r="K137">
        <v>7.9414249713061453</v>
      </c>
      <c r="P137">
        <v>7.9420990518654744</v>
      </c>
      <c r="U137">
        <v>7.9418557339311322</v>
      </c>
    </row>
    <row r="138" spans="1:23" ht="18" x14ac:dyDescent="0.35">
      <c r="A138" s="7" t="s">
        <v>39</v>
      </c>
    </row>
    <row r="140" spans="1:23" x14ac:dyDescent="0.25">
      <c r="E140" t="s">
        <v>44</v>
      </c>
      <c r="F140">
        <f>A88/A81</f>
        <v>1.0387198040764793</v>
      </c>
      <c r="J140" t="s">
        <v>44</v>
      </c>
      <c r="K140">
        <f>G136/K136</f>
        <v>0.99799908075247779</v>
      </c>
      <c r="P140">
        <f>G136/P136</f>
        <v>1.0385955597173862</v>
      </c>
      <c r="U140">
        <f>G136/U136</f>
        <v>1.0339222715755458</v>
      </c>
    </row>
    <row r="141" spans="1:23" x14ac:dyDescent="0.25">
      <c r="E141" t="s">
        <v>45</v>
      </c>
      <c r="F141">
        <f>$B9/$B8</f>
        <v>1.0387680999649118</v>
      </c>
      <c r="J141" t="s">
        <v>45</v>
      </c>
      <c r="K141">
        <f>$B9/$B8</f>
        <v>1.0387680999649118</v>
      </c>
      <c r="P141">
        <f>$B9/$B8</f>
        <v>1.0387680999649118</v>
      </c>
      <c r="U141">
        <f>$B9/$B8</f>
        <v>1.0387680999649118</v>
      </c>
    </row>
    <row r="144" spans="1:23" x14ac:dyDescent="0.25">
      <c r="P144" t="s">
        <v>56</v>
      </c>
    </row>
    <row r="145" spans="1:16" x14ac:dyDescent="0.25">
      <c r="P145" t="s">
        <v>56</v>
      </c>
    </row>
    <row r="159" spans="1:16" s="8" customFormat="1" x14ac:dyDescent="0.25">
      <c r="A159" s="8" t="s">
        <v>64</v>
      </c>
    </row>
    <row r="161" spans="1:22" x14ac:dyDescent="0.25">
      <c r="A161" t="s">
        <v>48</v>
      </c>
      <c r="C161" t="s">
        <v>49</v>
      </c>
      <c r="D161" t="s">
        <v>34</v>
      </c>
      <c r="E161" t="s">
        <v>50</v>
      </c>
      <c r="F161" t="s">
        <v>21</v>
      </c>
      <c r="G161" t="s">
        <v>20</v>
      </c>
      <c r="H161" t="s">
        <v>10</v>
      </c>
      <c r="I161" t="s">
        <v>53</v>
      </c>
      <c r="J161" t="s">
        <v>54</v>
      </c>
      <c r="L161" t="s">
        <v>13</v>
      </c>
      <c r="M161" t="s">
        <v>53</v>
      </c>
      <c r="N161" t="s">
        <v>54</v>
      </c>
      <c r="P161" t="s">
        <v>17</v>
      </c>
      <c r="Q161" t="s">
        <v>53</v>
      </c>
      <c r="R161" t="s">
        <v>54</v>
      </c>
      <c r="T161" t="s">
        <v>55</v>
      </c>
      <c r="U161" t="s">
        <v>53</v>
      </c>
      <c r="V161" t="s">
        <v>54</v>
      </c>
    </row>
    <row r="162" spans="1:22" x14ac:dyDescent="0.25">
      <c r="A162" s="6">
        <v>18129.61</v>
      </c>
      <c r="B162">
        <v>0.2</v>
      </c>
      <c r="C162">
        <v>1</v>
      </c>
      <c r="D162">
        <v>1</v>
      </c>
      <c r="E162">
        <f>D162+0.5</f>
        <v>1.5</v>
      </c>
      <c r="F162">
        <v>4</v>
      </c>
      <c r="G162">
        <f>F162+1</f>
        <v>5</v>
      </c>
      <c r="H162">
        <f t="shared" ref="H162:H174" si="29">2*(H$177-H$178*($D162+0.5))*$G162</f>
        <v>18129.282391264995</v>
      </c>
      <c r="I162" s="6">
        <f>$A162-H162</f>
        <v>0.32760873500592425</v>
      </c>
      <c r="J162" s="6">
        <f>I162^2</f>
        <v>0.10732748325218189</v>
      </c>
      <c r="K162" s="6"/>
      <c r="L162">
        <f t="shared" ref="L162:L174" si="30">2*(L$177-L$178*($D162+0.5)-L$179*(D162+0.5)^2)*$G162</f>
        <v>18129.22243661985</v>
      </c>
      <c r="M162" s="6">
        <f>$A162-L162</f>
        <v>0.38756338015082292</v>
      </c>
      <c r="N162" s="6">
        <f>M162^2</f>
        <v>0.15020537363393127</v>
      </c>
      <c r="O162" s="6"/>
      <c r="P162">
        <f t="shared" ref="P162:P174" si="31">2*(P$177-P$178*($D162+0.5))*$G162-4*P$180*$G162^3</f>
        <v>18129.97498452396</v>
      </c>
      <c r="Q162" s="6">
        <f>$A162-P162</f>
        <v>-0.36498452395971981</v>
      </c>
      <c r="R162" s="6">
        <f>Q162^2</f>
        <v>0.13321370273010327</v>
      </c>
      <c r="S162" s="6"/>
      <c r="T162">
        <f t="shared" ref="T162:T174" si="32">2*(T$177-T$178*($D162+0.5)-T$179*(D162+0.5)^2)*$G162-4*T$180*$G162^3</f>
        <v>18129.633120341787</v>
      </c>
      <c r="U162" s="6">
        <f>$A162-T162</f>
        <v>-2.3120341786125209E-2</v>
      </c>
      <c r="V162" s="6">
        <f>U162^2</f>
        <v>5.345502043072474E-4</v>
      </c>
    </row>
    <row r="163" spans="1:22" x14ac:dyDescent="0.25">
      <c r="A163" s="6">
        <v>18209.77</v>
      </c>
      <c r="B163">
        <v>0.1</v>
      </c>
      <c r="C163">
        <v>1</v>
      </c>
      <c r="D163">
        <v>0</v>
      </c>
      <c r="E163">
        <f t="shared" ref="E163:E174" si="33">D163+0.5</f>
        <v>0.5</v>
      </c>
      <c r="F163">
        <v>4</v>
      </c>
      <c r="G163">
        <f t="shared" ref="G163:G174" si="34">F163+1</f>
        <v>5</v>
      </c>
      <c r="H163">
        <f t="shared" si="29"/>
        <v>18208.696085838477</v>
      </c>
      <c r="I163" s="6">
        <f t="shared" ref="I163:I174" si="35">$A163-H163</f>
        <v>1.0739141615231347</v>
      </c>
      <c r="J163" s="6">
        <f t="shared" ref="J163:J174" si="36">I163^2</f>
        <v>1.1532916263199373</v>
      </c>
      <c r="K163" s="6"/>
      <c r="L163">
        <f t="shared" si="30"/>
        <v>18209.415040414227</v>
      </c>
      <c r="M163" s="6">
        <f t="shared" ref="M163:M174" si="37">$A163-L163</f>
        <v>0.35495958577303099</v>
      </c>
      <c r="N163" s="6">
        <f t="shared" ref="N163:N174" si="38">M163^2</f>
        <v>0.12599630753216176</v>
      </c>
      <c r="O163" s="6"/>
      <c r="P163">
        <f t="shared" si="31"/>
        <v>18209.411037082715</v>
      </c>
      <c r="Q163" s="6">
        <f t="shared" ref="Q163:Q174" si="39">$A163-P163</f>
        <v>0.35896291728568031</v>
      </c>
      <c r="R163" s="6">
        <f t="shared" ref="R163:R174" si="40">Q163^2</f>
        <v>0.12885437598624616</v>
      </c>
      <c r="S163" s="6"/>
      <c r="T163">
        <f t="shared" si="32"/>
        <v>18209.775451551635</v>
      </c>
      <c r="U163" s="6">
        <f t="shared" ref="U163:U174" si="41">$A163-T163</f>
        <v>-5.451551634905627E-3</v>
      </c>
      <c r="V163" s="6">
        <f t="shared" ref="V163:V174" si="42">U163^2</f>
        <v>2.9719415228042215E-5</v>
      </c>
    </row>
    <row r="164" spans="1:22" x14ac:dyDescent="0.25">
      <c r="A164" s="6">
        <v>21184.73</v>
      </c>
      <c r="B164">
        <v>0.1</v>
      </c>
      <c r="C164">
        <v>1</v>
      </c>
      <c r="D164">
        <v>7</v>
      </c>
      <c r="E164">
        <f t="shared" si="33"/>
        <v>7.5</v>
      </c>
      <c r="F164">
        <v>5</v>
      </c>
      <c r="G164">
        <f t="shared" si="34"/>
        <v>6</v>
      </c>
      <c r="H164">
        <f t="shared" si="29"/>
        <v>21183.360268588927</v>
      </c>
      <c r="I164" s="6">
        <f t="shared" si="35"/>
        <v>1.36973141107228</v>
      </c>
      <c r="J164" s="6">
        <f t="shared" si="36"/>
        <v>1.8761641384780594</v>
      </c>
      <c r="K164" s="6"/>
      <c r="L164">
        <f t="shared" si="30"/>
        <v>21184.793371088585</v>
      </c>
      <c r="M164" s="6">
        <f t="shared" si="37"/>
        <v>-6.3371088584972313E-2</v>
      </c>
      <c r="N164" s="6">
        <f t="shared" si="38"/>
        <v>4.0158948684444083E-3</v>
      </c>
      <c r="O164" s="6"/>
      <c r="P164">
        <f t="shared" si="31"/>
        <v>21183.448451236767</v>
      </c>
      <c r="Q164" s="6">
        <f t="shared" si="39"/>
        <v>1.2815487632324221</v>
      </c>
      <c r="R164" s="6">
        <f t="shared" si="40"/>
        <v>1.6423672325425507</v>
      </c>
      <c r="S164" s="6"/>
      <c r="T164">
        <f t="shared" si="32"/>
        <v>21184.728440958457</v>
      </c>
      <c r="U164" s="6">
        <f t="shared" si="41"/>
        <v>1.5590415423503146E-3</v>
      </c>
      <c r="V164" s="6">
        <f t="shared" si="42"/>
        <v>2.4306105307740474E-6</v>
      </c>
    </row>
    <row r="165" spans="1:22" x14ac:dyDescent="0.25">
      <c r="A165" s="6">
        <v>21279.07</v>
      </c>
      <c r="B165">
        <v>0.1</v>
      </c>
      <c r="C165">
        <v>1</v>
      </c>
      <c r="D165">
        <v>6</v>
      </c>
      <c r="E165">
        <f t="shared" si="33"/>
        <v>6.5</v>
      </c>
      <c r="F165">
        <v>5</v>
      </c>
      <c r="G165">
        <f t="shared" si="34"/>
        <v>6</v>
      </c>
      <c r="H165">
        <f t="shared" si="29"/>
        <v>21278.656702077104</v>
      </c>
      <c r="I165" s="6">
        <f t="shared" si="35"/>
        <v>0.41329792289616307</v>
      </c>
      <c r="J165" s="6">
        <f t="shared" si="36"/>
        <v>0.17081517307028277</v>
      </c>
      <c r="K165" s="6"/>
      <c r="L165">
        <f t="shared" si="30"/>
        <v>21278.992154366329</v>
      </c>
      <c r="M165" s="6">
        <f t="shared" si="37"/>
        <v>7.7845633670222014E-2</v>
      </c>
      <c r="N165" s="6">
        <f t="shared" si="38"/>
        <v>6.0599426815184029E-3</v>
      </c>
      <c r="O165" s="6"/>
      <c r="P165">
        <f t="shared" si="31"/>
        <v>21278.771714307273</v>
      </c>
      <c r="Q165" s="6">
        <f t="shared" si="39"/>
        <v>0.29828569272649474</v>
      </c>
      <c r="R165" s="6">
        <f t="shared" si="40"/>
        <v>8.8974354485324841E-2</v>
      </c>
      <c r="S165" s="6"/>
      <c r="T165">
        <f t="shared" si="32"/>
        <v>21279.032249940796</v>
      </c>
      <c r="U165" s="6">
        <f t="shared" si="41"/>
        <v>3.7750059203972341E-2</v>
      </c>
      <c r="V165" s="6">
        <f t="shared" si="42"/>
        <v>1.4250669699034169E-3</v>
      </c>
    </row>
    <row r="166" spans="1:22" x14ac:dyDescent="0.25">
      <c r="A166" s="6">
        <v>21373.63</v>
      </c>
      <c r="B166">
        <v>0.1</v>
      </c>
      <c r="C166">
        <v>1</v>
      </c>
      <c r="D166">
        <v>5</v>
      </c>
      <c r="E166">
        <f t="shared" si="33"/>
        <v>5.5</v>
      </c>
      <c r="F166">
        <v>5</v>
      </c>
      <c r="G166">
        <f t="shared" si="34"/>
        <v>6</v>
      </c>
      <c r="H166">
        <f t="shared" si="29"/>
        <v>21373.953135565283</v>
      </c>
      <c r="I166" s="6">
        <f t="shared" si="35"/>
        <v>-0.32313556528242771</v>
      </c>
      <c r="J166" s="6">
        <f t="shared" si="36"/>
        <v>0.10441659355039409</v>
      </c>
      <c r="K166" s="6"/>
      <c r="L166">
        <f t="shared" si="30"/>
        <v>21373.52966118999</v>
      </c>
      <c r="M166" s="6">
        <f t="shared" si="37"/>
        <v>0.10033881001072587</v>
      </c>
      <c r="N166" s="6">
        <f t="shared" si="38"/>
        <v>1.0067876794368541E-2</v>
      </c>
      <c r="O166" s="6"/>
      <c r="P166">
        <f t="shared" si="31"/>
        <v>21374.094977377779</v>
      </c>
      <c r="Q166" s="6">
        <f t="shared" si="39"/>
        <v>-0.46497737777826842</v>
      </c>
      <c r="R166" s="6">
        <f t="shared" si="40"/>
        <v>0.21620396184555454</v>
      </c>
      <c r="S166" s="6"/>
      <c r="T166">
        <f t="shared" si="32"/>
        <v>21373.647223668049</v>
      </c>
      <c r="U166" s="6">
        <f t="shared" si="41"/>
        <v>-1.7223668048245599E-2</v>
      </c>
      <c r="V166" s="6">
        <f t="shared" si="42"/>
        <v>2.9665474103615636E-4</v>
      </c>
    </row>
    <row r="167" spans="1:22" x14ac:dyDescent="0.25">
      <c r="A167" s="6">
        <v>21563.91</v>
      </c>
      <c r="B167">
        <v>0.1</v>
      </c>
      <c r="C167">
        <v>1</v>
      </c>
      <c r="D167">
        <v>3</v>
      </c>
      <c r="E167">
        <f t="shared" si="33"/>
        <v>3.5</v>
      </c>
      <c r="F167">
        <v>5</v>
      </c>
      <c r="G167">
        <f t="shared" si="34"/>
        <v>6</v>
      </c>
      <c r="H167">
        <f t="shared" si="29"/>
        <v>21564.546002541636</v>
      </c>
      <c r="I167" s="6">
        <f t="shared" si="35"/>
        <v>-0.6360025416361168</v>
      </c>
      <c r="J167" s="6">
        <f t="shared" si="36"/>
        <v>0.40449923296760049</v>
      </c>
      <c r="K167" s="6"/>
      <c r="L167">
        <f t="shared" si="30"/>
        <v>21563.620845475067</v>
      </c>
      <c r="M167" s="6">
        <f t="shared" si="37"/>
        <v>0.28915452493311022</v>
      </c>
      <c r="N167" s="6">
        <f t="shared" si="38"/>
        <v>8.3610339289292665E-2</v>
      </c>
      <c r="O167" s="6"/>
      <c r="P167">
        <f t="shared" si="31"/>
        <v>21564.741503518791</v>
      </c>
      <c r="Q167" s="6">
        <f t="shared" si="39"/>
        <v>-0.83150351879157824</v>
      </c>
      <c r="R167" s="6">
        <f t="shared" si="40"/>
        <v>0.6913981017627765</v>
      </c>
      <c r="S167" s="6"/>
      <c r="T167">
        <f t="shared" si="32"/>
        <v>21563.810665357298</v>
      </c>
      <c r="U167" s="6">
        <f t="shared" si="41"/>
        <v>9.9334642702160636E-2</v>
      </c>
      <c r="V167" s="6">
        <f t="shared" si="42"/>
        <v>9.8673712407659157E-3</v>
      </c>
    </row>
    <row r="168" spans="1:22" x14ac:dyDescent="0.25">
      <c r="A168" s="6">
        <v>21659.38</v>
      </c>
      <c r="B168">
        <v>0.1</v>
      </c>
      <c r="C168">
        <v>1</v>
      </c>
      <c r="D168">
        <v>2</v>
      </c>
      <c r="E168">
        <f t="shared" si="33"/>
        <v>2.5</v>
      </c>
      <c r="F168">
        <v>5</v>
      </c>
      <c r="G168">
        <f t="shared" si="34"/>
        <v>6</v>
      </c>
      <c r="H168">
        <f t="shared" si="29"/>
        <v>21659.842436029816</v>
      </c>
      <c r="I168" s="6">
        <f t="shared" si="35"/>
        <v>-0.4624360298148531</v>
      </c>
      <c r="J168" s="6">
        <f t="shared" si="36"/>
        <v>0.2138470816709237</v>
      </c>
      <c r="K168" s="6"/>
      <c r="L168">
        <f t="shared" si="30"/>
        <v>21659.174522936482</v>
      </c>
      <c r="M168" s="6">
        <f t="shared" si="37"/>
        <v>0.20547706351862871</v>
      </c>
      <c r="N168" s="6">
        <f t="shared" si="38"/>
        <v>4.2220823632238579E-2</v>
      </c>
      <c r="O168" s="6"/>
      <c r="P168">
        <f t="shared" si="31"/>
        <v>21660.064766589298</v>
      </c>
      <c r="Q168" s="6">
        <f t="shared" si="39"/>
        <v>-0.68476658929648693</v>
      </c>
      <c r="R168" s="6">
        <f t="shared" si="40"/>
        <v>0.46890528181674362</v>
      </c>
      <c r="S168" s="6"/>
      <c r="T168">
        <f t="shared" si="32"/>
        <v>21659.359133319293</v>
      </c>
      <c r="U168" s="6">
        <f t="shared" si="41"/>
        <v>2.0866680708422791E-2</v>
      </c>
      <c r="V168" s="6">
        <f t="shared" si="42"/>
        <v>4.354183637872639E-4</v>
      </c>
    </row>
    <row r="169" spans="1:22" x14ac:dyDescent="0.25">
      <c r="A169" s="6">
        <v>21755.19</v>
      </c>
      <c r="B169">
        <v>0.1</v>
      </c>
      <c r="C169">
        <v>1</v>
      </c>
      <c r="D169">
        <v>1</v>
      </c>
      <c r="E169">
        <f t="shared" si="33"/>
        <v>1.5</v>
      </c>
      <c r="F169">
        <v>5</v>
      </c>
      <c r="G169">
        <f t="shared" si="34"/>
        <v>6</v>
      </c>
      <c r="H169">
        <f t="shared" si="29"/>
        <v>21755.138869517992</v>
      </c>
      <c r="I169" s="6">
        <f t="shared" si="35"/>
        <v>5.1130482006556122E-2</v>
      </c>
      <c r="J169" s="6">
        <f t="shared" si="36"/>
        <v>2.6143261902227591E-3</v>
      </c>
      <c r="K169" s="6"/>
      <c r="L169">
        <f t="shared" si="30"/>
        <v>21755.066923943818</v>
      </c>
      <c r="M169" s="6">
        <f t="shared" si="37"/>
        <v>0.12307605618116213</v>
      </c>
      <c r="N169" s="6">
        <f t="shared" si="38"/>
        <v>1.5147715605108577E-2</v>
      </c>
      <c r="O169" s="6"/>
      <c r="P169">
        <f t="shared" si="31"/>
        <v>21755.388029659804</v>
      </c>
      <c r="Q169" s="6">
        <f t="shared" si="39"/>
        <v>-0.19802965980488807</v>
      </c>
      <c r="R169" s="6">
        <f t="shared" si="40"/>
        <v>3.9215746162439703E-2</v>
      </c>
      <c r="S169" s="6"/>
      <c r="T169">
        <f t="shared" si="32"/>
        <v>21755.218766026203</v>
      </c>
      <c r="U169" s="6">
        <f t="shared" si="41"/>
        <v>-2.8766026203811634E-2</v>
      </c>
      <c r="V169" s="6">
        <f t="shared" si="42"/>
        <v>8.2748426355837756E-4</v>
      </c>
    </row>
    <row r="170" spans="1:22" x14ac:dyDescent="0.25">
      <c r="A170" s="6">
        <v>21851.32</v>
      </c>
      <c r="B170">
        <v>0.1</v>
      </c>
      <c r="C170">
        <v>1</v>
      </c>
      <c r="D170">
        <v>0</v>
      </c>
      <c r="E170">
        <f t="shared" si="33"/>
        <v>0.5</v>
      </c>
      <c r="F170">
        <v>5</v>
      </c>
      <c r="G170">
        <f t="shared" si="34"/>
        <v>6</v>
      </c>
      <c r="H170">
        <f t="shared" si="29"/>
        <v>21850.435303006172</v>
      </c>
      <c r="I170" s="6">
        <f t="shared" si="35"/>
        <v>0.88469699382767431</v>
      </c>
      <c r="J170" s="6">
        <f t="shared" si="36"/>
        <v>0.78268877088772404</v>
      </c>
      <c r="K170" s="6"/>
      <c r="L170">
        <f t="shared" si="30"/>
        <v>21851.298048497072</v>
      </c>
      <c r="M170" s="6">
        <f t="shared" si="37"/>
        <v>2.1951502927549882E-2</v>
      </c>
      <c r="N170" s="6">
        <f t="shared" si="38"/>
        <v>4.8186848077823102E-4</v>
      </c>
      <c r="O170" s="6"/>
      <c r="P170">
        <f t="shared" si="31"/>
        <v>21850.711292730313</v>
      </c>
      <c r="Q170" s="6">
        <f t="shared" si="39"/>
        <v>0.60870726968641975</v>
      </c>
      <c r="R170" s="6">
        <f t="shared" si="40"/>
        <v>0.37052454016909575</v>
      </c>
      <c r="S170" s="6"/>
      <c r="T170">
        <f t="shared" si="32"/>
        <v>21851.389563478016</v>
      </c>
      <c r="U170" s="6">
        <f t="shared" si="41"/>
        <v>-6.9563478016789304E-2</v>
      </c>
      <c r="V170" s="6">
        <f t="shared" si="42"/>
        <v>4.8390774737923289E-3</v>
      </c>
    </row>
    <row r="171" spans="1:22" x14ac:dyDescent="0.25">
      <c r="A171" s="6">
        <v>25157.040000000001</v>
      </c>
      <c r="B171">
        <v>0.3</v>
      </c>
      <c r="C171">
        <v>1</v>
      </c>
      <c r="D171">
        <v>3</v>
      </c>
      <c r="E171">
        <f t="shared" si="33"/>
        <v>3.5</v>
      </c>
      <c r="F171">
        <v>6</v>
      </c>
      <c r="G171">
        <f t="shared" si="34"/>
        <v>7</v>
      </c>
      <c r="H171">
        <f t="shared" si="29"/>
        <v>25158.637002965243</v>
      </c>
      <c r="I171" s="6">
        <f t="shared" si="35"/>
        <v>-1.5970029652416997</v>
      </c>
      <c r="J171" s="6">
        <f t="shared" si="36"/>
        <v>2.5504184709907816</v>
      </c>
      <c r="K171" s="6"/>
      <c r="L171">
        <f t="shared" si="30"/>
        <v>25157.557653054242</v>
      </c>
      <c r="M171" s="6">
        <f t="shared" si="37"/>
        <v>-0.51765305424123653</v>
      </c>
      <c r="N171" s="6">
        <f t="shared" si="38"/>
        <v>0.26796468456528055</v>
      </c>
      <c r="O171" s="6"/>
      <c r="P171">
        <f t="shared" si="31"/>
        <v>25158.062699393522</v>
      </c>
      <c r="Q171" s="6">
        <f t="shared" si="39"/>
        <v>-1.0226993935211794</v>
      </c>
      <c r="R171" s="6">
        <f t="shared" si="40"/>
        <v>1.0459140495085884</v>
      </c>
      <c r="S171" s="6"/>
      <c r="T171">
        <f t="shared" si="32"/>
        <v>25157.308972720806</v>
      </c>
      <c r="U171" s="6">
        <f t="shared" si="41"/>
        <v>-0.26897272080532275</v>
      </c>
      <c r="V171" s="6">
        <f t="shared" si="42"/>
        <v>7.23463245374181E-2</v>
      </c>
    </row>
    <row r="172" spans="1:22" x14ac:dyDescent="0.25">
      <c r="A172" s="6">
        <v>25268.95</v>
      </c>
      <c r="B172">
        <v>0.15</v>
      </c>
      <c r="C172">
        <v>1</v>
      </c>
      <c r="D172">
        <v>2</v>
      </c>
      <c r="E172">
        <f t="shared" si="33"/>
        <v>2.5</v>
      </c>
      <c r="F172">
        <v>6</v>
      </c>
      <c r="G172">
        <f t="shared" si="34"/>
        <v>7</v>
      </c>
      <c r="H172">
        <f t="shared" si="29"/>
        <v>25269.816175368116</v>
      </c>
      <c r="I172" s="6">
        <f t="shared" si="35"/>
        <v>-0.86617536811536411</v>
      </c>
      <c r="J172" s="6">
        <f t="shared" si="36"/>
        <v>0.75025976832978647</v>
      </c>
      <c r="K172" s="6"/>
      <c r="L172">
        <f t="shared" si="30"/>
        <v>25269.036943425897</v>
      </c>
      <c r="M172" s="6">
        <f t="shared" si="37"/>
        <v>-8.6943425896606641E-2</v>
      </c>
      <c r="N172" s="6">
        <f t="shared" si="38"/>
        <v>7.5591593066387302E-3</v>
      </c>
      <c r="O172" s="6"/>
      <c r="P172">
        <f t="shared" si="31"/>
        <v>25269.27317297578</v>
      </c>
      <c r="Q172" s="6">
        <f t="shared" si="39"/>
        <v>-0.32317297577901627</v>
      </c>
      <c r="R172" s="6">
        <f t="shared" si="40"/>
        <v>0.10444077227386464</v>
      </c>
      <c r="S172" s="6"/>
      <c r="T172">
        <f t="shared" si="32"/>
        <v>25268.782185343134</v>
      </c>
      <c r="U172" s="6">
        <f t="shared" si="41"/>
        <v>0.16781465686653974</v>
      </c>
      <c r="V172" s="6">
        <f t="shared" si="42"/>
        <v>2.8161759059234473E-2</v>
      </c>
    </row>
    <row r="173" spans="1:22" x14ac:dyDescent="0.25">
      <c r="A173" s="6">
        <v>25380.71</v>
      </c>
      <c r="B173">
        <v>0.15</v>
      </c>
      <c r="C173">
        <v>1</v>
      </c>
      <c r="D173">
        <v>1</v>
      </c>
      <c r="E173">
        <f t="shared" si="33"/>
        <v>1.5</v>
      </c>
      <c r="F173">
        <v>6</v>
      </c>
      <c r="G173">
        <f t="shared" si="34"/>
        <v>7</v>
      </c>
      <c r="H173">
        <f t="shared" si="29"/>
        <v>25380.995347770993</v>
      </c>
      <c r="I173" s="6">
        <f t="shared" si="35"/>
        <v>-0.28534777099412167</v>
      </c>
      <c r="J173" s="6">
        <f t="shared" si="36"/>
        <v>8.1423350411313711E-2</v>
      </c>
      <c r="K173" s="6"/>
      <c r="L173">
        <f t="shared" si="30"/>
        <v>25380.911411267785</v>
      </c>
      <c r="M173" s="6">
        <f t="shared" si="37"/>
        <v>-0.20141126778617036</v>
      </c>
      <c r="N173" s="6">
        <f t="shared" si="38"/>
        <v>4.0566498791232426E-2</v>
      </c>
      <c r="O173" s="6"/>
      <c r="P173">
        <f t="shared" si="31"/>
        <v>25380.483646558041</v>
      </c>
      <c r="Q173" s="6">
        <f t="shared" si="39"/>
        <v>0.22635344195805374</v>
      </c>
      <c r="R173" s="6">
        <f t="shared" si="40"/>
        <v>5.1235880686257999E-2</v>
      </c>
      <c r="S173" s="6"/>
      <c r="T173">
        <f t="shared" si="32"/>
        <v>25380.618423501193</v>
      </c>
      <c r="U173" s="6">
        <f t="shared" si="41"/>
        <v>9.1576498805807205E-2</v>
      </c>
      <c r="V173" s="6">
        <f t="shared" si="42"/>
        <v>8.3862551335300087E-3</v>
      </c>
    </row>
    <row r="174" spans="1:22" x14ac:dyDescent="0.25">
      <c r="A174" s="6">
        <v>25492.81</v>
      </c>
      <c r="B174">
        <v>0.15</v>
      </c>
      <c r="C174">
        <v>1</v>
      </c>
      <c r="D174">
        <v>0</v>
      </c>
      <c r="E174">
        <f t="shared" si="33"/>
        <v>0.5</v>
      </c>
      <c r="F174">
        <v>6</v>
      </c>
      <c r="G174">
        <f t="shared" si="34"/>
        <v>7</v>
      </c>
      <c r="H174">
        <f t="shared" si="29"/>
        <v>25492.174520173867</v>
      </c>
      <c r="I174" s="6">
        <f t="shared" si="35"/>
        <v>0.63547982613454224</v>
      </c>
      <c r="J174" s="6">
        <f t="shared" si="36"/>
        <v>0.40383460942398802</v>
      </c>
      <c r="K174" s="6"/>
      <c r="L174">
        <f t="shared" si="30"/>
        <v>25493.181056579917</v>
      </c>
      <c r="M174" s="6">
        <f t="shared" si="37"/>
        <v>-0.37105657991560292</v>
      </c>
      <c r="N174" s="6">
        <f t="shared" si="38"/>
        <v>0.13768298549866423</v>
      </c>
      <c r="O174" s="6"/>
      <c r="P174">
        <f t="shared" si="31"/>
        <v>25491.694120140299</v>
      </c>
      <c r="Q174" s="6">
        <f t="shared" si="39"/>
        <v>1.1158798597025452</v>
      </c>
      <c r="R174" s="6">
        <f t="shared" si="40"/>
        <v>1.245187861289772</v>
      </c>
      <c r="S174" s="6"/>
      <c r="T174">
        <f t="shared" si="32"/>
        <v>25492.81768719498</v>
      </c>
      <c r="U174" s="6">
        <f t="shared" si="41"/>
        <v>-7.6871949786436744E-3</v>
      </c>
      <c r="V174" s="6">
        <f t="shared" si="42"/>
        <v>5.9092966639684525E-5</v>
      </c>
    </row>
    <row r="175" spans="1:22" x14ac:dyDescent="0.25">
      <c r="J175" s="6">
        <f>SUM(J162:J174)</f>
        <v>8.6016006255431972</v>
      </c>
      <c r="K175" s="6"/>
      <c r="N175" s="6">
        <f>SUM(N162:N174)</f>
        <v>0.89157947067965826</v>
      </c>
      <c r="O175" s="6"/>
      <c r="R175" s="6">
        <f>SUM(R162:R174)</f>
        <v>6.2264358612593185</v>
      </c>
      <c r="S175" s="6"/>
      <c r="V175" s="6">
        <f>SUM(V162:V174)</f>
        <v>0.12721120497973179</v>
      </c>
    </row>
    <row r="176" spans="1:22" x14ac:dyDescent="0.25">
      <c r="A176" t="s">
        <v>51</v>
      </c>
    </row>
    <row r="177" spans="1:20" ht="18" x14ac:dyDescent="0.35">
      <c r="A177" t="s">
        <v>37</v>
      </c>
      <c r="H177">
        <v>1824.8402933125217</v>
      </c>
      <c r="L177">
        <v>1824.9617193419515</v>
      </c>
      <c r="P177">
        <v>1825.0231244742674</v>
      </c>
      <c r="T177">
        <v>1825.0589648533173</v>
      </c>
    </row>
    <row r="178" spans="1:20" ht="18" x14ac:dyDescent="0.35">
      <c r="A178" t="s">
        <v>38</v>
      </c>
      <c r="H178">
        <v>7.9413694573481433</v>
      </c>
      <c r="L178">
        <v>8.04748734159765</v>
      </c>
      <c r="P178">
        <v>7.9436052558755392</v>
      </c>
      <c r="T178">
        <v>8.040163516394248</v>
      </c>
    </row>
    <row r="179" spans="1:20" ht="18" x14ac:dyDescent="0.35">
      <c r="A179" s="7" t="s">
        <v>39</v>
      </c>
      <c r="L179">
        <v>-1.4113481079932955E-2</v>
      </c>
      <c r="T179">
        <v>-1.2965197704691529E-2</v>
      </c>
    </row>
    <row r="180" spans="1:20" ht="18" x14ac:dyDescent="0.35">
      <c r="A180" s="7" t="s">
        <v>52</v>
      </c>
      <c r="P180">
        <v>2.2043627611651705E-3</v>
      </c>
      <c r="T180">
        <v>1.2915847876607156E-3</v>
      </c>
    </row>
    <row r="181" spans="1:20" x14ac:dyDescent="0.25">
      <c r="A181" s="7"/>
    </row>
    <row r="182" spans="1:20" x14ac:dyDescent="0.25">
      <c r="A182" s="6">
        <v>21036.78</v>
      </c>
      <c r="B182">
        <v>0.1</v>
      </c>
      <c r="C182">
        <v>2</v>
      </c>
      <c r="D182">
        <v>0</v>
      </c>
      <c r="E182">
        <f t="shared" ref="E182" si="43">D182+0.5</f>
        <v>0.5</v>
      </c>
      <c r="F182">
        <v>5</v>
      </c>
      <c r="G182">
        <f t="shared" ref="G182" si="44">F182+1</f>
        <v>6</v>
      </c>
      <c r="H182">
        <f>2*(H$185-H$186*(D182+0.5))*$G182</f>
        <v>21036.78</v>
      </c>
      <c r="I182" s="6">
        <f>$A182-H182</f>
        <v>0</v>
      </c>
      <c r="J182" s="6">
        <f>I182^2</f>
        <v>0</v>
      </c>
    </row>
    <row r="184" spans="1:20" x14ac:dyDescent="0.25">
      <c r="A184" t="s">
        <v>51</v>
      </c>
    </row>
    <row r="185" spans="1:20" ht="18" x14ac:dyDescent="0.35">
      <c r="A185" t="s">
        <v>37</v>
      </c>
      <c r="H185">
        <v>1757.0360495259329</v>
      </c>
    </row>
    <row r="186" spans="1:20" ht="18" x14ac:dyDescent="0.35">
      <c r="A186" t="s">
        <v>38</v>
      </c>
      <c r="H186">
        <v>7.9420990518654744</v>
      </c>
    </row>
    <row r="187" spans="1:20" ht="18" x14ac:dyDescent="0.35">
      <c r="A187" s="7" t="s">
        <v>39</v>
      </c>
    </row>
    <row r="188" spans="1:20" ht="18" x14ac:dyDescent="0.35">
      <c r="A188" s="7" t="s">
        <v>52</v>
      </c>
    </row>
    <row r="189" spans="1:20" x14ac:dyDescent="0.25">
      <c r="A189" s="7"/>
    </row>
    <row r="190" spans="1:20" s="8" customFormat="1" x14ac:dyDescent="0.25">
      <c r="A190" s="11" t="s">
        <v>65</v>
      </c>
    </row>
  </sheetData>
  <sortState ref="A79:A92">
    <sortCondition ref="A79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Microwave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2023-01-31T05:25:42Z</dcterms:modified>
</cp:coreProperties>
</file>