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D290BA50-3A2A-4A9D-A209-A4331987080C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</sheets>
  <definedNames>
    <definedName name="solver_adj" localSheetId="0" hidden="1">Microwave!$S$171:$S$174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Microwave!$U$169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16" i="3" l="1"/>
  <c r="E117" i="3"/>
  <c r="E118" i="3"/>
  <c r="E119" i="3"/>
  <c r="E120" i="3"/>
  <c r="E121" i="3"/>
  <c r="E122" i="3"/>
  <c r="E123" i="3"/>
  <c r="E124" i="3"/>
  <c r="E125" i="3"/>
  <c r="E126" i="3"/>
  <c r="E127" i="3"/>
  <c r="E115" i="3"/>
  <c r="E102" i="3"/>
  <c r="E103" i="3"/>
  <c r="E104" i="3"/>
  <c r="E105" i="3"/>
  <c r="E106" i="3"/>
  <c r="E107" i="3"/>
  <c r="E108" i="3"/>
  <c r="E109" i="3"/>
  <c r="E110" i="3"/>
  <c r="E111" i="3"/>
  <c r="E112" i="3"/>
  <c r="E113" i="3"/>
  <c r="E101" i="3"/>
  <c r="L117" i="3" l="1"/>
  <c r="L101" i="3"/>
  <c r="M51" i="3"/>
  <c r="G71" i="3" s="1"/>
  <c r="L51" i="3"/>
  <c r="G72" i="3" l="1"/>
  <c r="G73" i="3"/>
  <c r="K191" i="3"/>
  <c r="G191" i="3"/>
  <c r="K8" i="3" l="1"/>
  <c r="K7" i="3"/>
  <c r="K6" i="3"/>
  <c r="K5" i="3"/>
  <c r="L5" i="3"/>
  <c r="L4" i="3"/>
  <c r="J8" i="3"/>
  <c r="J7" i="3"/>
  <c r="J6" i="3"/>
  <c r="J5" i="3"/>
  <c r="I8" i="3"/>
  <c r="I7" i="3"/>
  <c r="I6" i="3"/>
  <c r="I5" i="3"/>
  <c r="F94" i="3" l="1"/>
  <c r="F168" i="3" l="1"/>
  <c r="S168" i="3" s="1"/>
  <c r="T168" i="3" s="1"/>
  <c r="U168" i="3" s="1"/>
  <c r="F167" i="3"/>
  <c r="O167" i="3" s="1"/>
  <c r="P167" i="3" s="1"/>
  <c r="Q167" i="3" s="1"/>
  <c r="F166" i="3"/>
  <c r="K166" i="3" s="1"/>
  <c r="L166" i="3" s="1"/>
  <c r="M166" i="3" s="1"/>
  <c r="F165" i="3"/>
  <c r="S165" i="3" s="1"/>
  <c r="T165" i="3" s="1"/>
  <c r="U165" i="3" s="1"/>
  <c r="F164" i="3"/>
  <c r="S164" i="3" s="1"/>
  <c r="T164" i="3" s="1"/>
  <c r="U164" i="3" s="1"/>
  <c r="F180" i="3"/>
  <c r="K180" i="3" s="1"/>
  <c r="L180" i="3" s="1"/>
  <c r="M180" i="3" s="1"/>
  <c r="F163" i="3"/>
  <c r="O163" i="3" s="1"/>
  <c r="P163" i="3" s="1"/>
  <c r="Q163" i="3" s="1"/>
  <c r="F179" i="3"/>
  <c r="K179" i="3" s="1"/>
  <c r="L179" i="3" s="1"/>
  <c r="M179" i="3" s="1"/>
  <c r="F162" i="3"/>
  <c r="K162" i="3" s="1"/>
  <c r="L162" i="3" s="1"/>
  <c r="M162" i="3" s="1"/>
  <c r="F178" i="3"/>
  <c r="F161" i="3"/>
  <c r="S161" i="3" s="1"/>
  <c r="T161" i="3" s="1"/>
  <c r="U161" i="3" s="1"/>
  <c r="F160" i="3"/>
  <c r="S160" i="3" s="1"/>
  <c r="T160" i="3" s="1"/>
  <c r="U160" i="3" s="1"/>
  <c r="F159" i="3"/>
  <c r="S159" i="3" s="1"/>
  <c r="T159" i="3" s="1"/>
  <c r="U159" i="3" s="1"/>
  <c r="T153" i="3"/>
  <c r="T143" i="3"/>
  <c r="T141" i="3"/>
  <c r="T139" i="3"/>
  <c r="O153" i="3"/>
  <c r="O143" i="3"/>
  <c r="O141" i="3"/>
  <c r="O139" i="3"/>
  <c r="K148" i="3"/>
  <c r="K147" i="3"/>
  <c r="K146" i="3"/>
  <c r="K145" i="3"/>
  <c r="K144" i="3"/>
  <c r="K143" i="3"/>
  <c r="K142" i="3"/>
  <c r="K141" i="3"/>
  <c r="K140" i="3"/>
  <c r="K139" i="3"/>
  <c r="K138" i="3"/>
  <c r="K137" i="3"/>
  <c r="K136" i="3"/>
  <c r="G137" i="3"/>
  <c r="G138" i="3"/>
  <c r="G139" i="3"/>
  <c r="G140" i="3"/>
  <c r="G141" i="3"/>
  <c r="G142" i="3"/>
  <c r="G143" i="3"/>
  <c r="G144" i="3"/>
  <c r="G145" i="3"/>
  <c r="G146" i="3"/>
  <c r="G147" i="3"/>
  <c r="G148" i="3"/>
  <c r="G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36" i="3"/>
  <c r="O94" i="3"/>
  <c r="O93" i="3"/>
  <c r="F93" i="3"/>
  <c r="L80" i="3"/>
  <c r="M80" i="3" s="1"/>
  <c r="L81" i="3"/>
  <c r="M81" i="3" s="1"/>
  <c r="L82" i="3"/>
  <c r="O82" i="3" s="1"/>
  <c r="P82" i="3" s="1"/>
  <c r="L83" i="3"/>
  <c r="O83" i="3" s="1"/>
  <c r="P83" i="3" s="1"/>
  <c r="L84" i="3"/>
  <c r="M84" i="3" s="1"/>
  <c r="L85" i="3"/>
  <c r="M85" i="3" s="1"/>
  <c r="L86" i="3"/>
  <c r="O86" i="3" s="1"/>
  <c r="P86" i="3" s="1"/>
  <c r="L87" i="3"/>
  <c r="O87" i="3" s="1"/>
  <c r="P87" i="3" s="1"/>
  <c r="L88" i="3"/>
  <c r="M88" i="3" s="1"/>
  <c r="L89" i="3"/>
  <c r="M89" i="3" s="1"/>
  <c r="L90" i="3"/>
  <c r="O90" i="3" s="1"/>
  <c r="P90" i="3" s="1"/>
  <c r="L91" i="3"/>
  <c r="O91" i="3" s="1"/>
  <c r="P91" i="3" s="1"/>
  <c r="L79" i="3"/>
  <c r="M79" i="3" s="1"/>
  <c r="C80" i="3"/>
  <c r="D80" i="3" s="1"/>
  <c r="C81" i="3"/>
  <c r="D81" i="3" s="1"/>
  <c r="C82" i="3"/>
  <c r="F82" i="3" s="1"/>
  <c r="G82" i="3" s="1"/>
  <c r="C83" i="3"/>
  <c r="F83" i="3" s="1"/>
  <c r="G83" i="3" s="1"/>
  <c r="C84" i="3"/>
  <c r="D84" i="3" s="1"/>
  <c r="C85" i="3"/>
  <c r="D85" i="3" s="1"/>
  <c r="C86" i="3"/>
  <c r="F86" i="3" s="1"/>
  <c r="G86" i="3" s="1"/>
  <c r="C87" i="3"/>
  <c r="F87" i="3" s="1"/>
  <c r="G87" i="3" s="1"/>
  <c r="C88" i="3"/>
  <c r="D88" i="3" s="1"/>
  <c r="C89" i="3"/>
  <c r="D89" i="3" s="1"/>
  <c r="C90" i="3"/>
  <c r="F90" i="3" s="1"/>
  <c r="G90" i="3" s="1"/>
  <c r="C91" i="3"/>
  <c r="F91" i="3" s="1"/>
  <c r="G91" i="3" s="1"/>
  <c r="C79" i="3"/>
  <c r="D79" i="3" s="1"/>
  <c r="M50" i="3"/>
  <c r="L50" i="3"/>
  <c r="A73" i="3"/>
  <c r="C73" i="3" s="1"/>
  <c r="A72" i="3"/>
  <c r="C72" i="3" s="1"/>
  <c r="A71" i="3"/>
  <c r="A70" i="3"/>
  <c r="A69" i="3"/>
  <c r="L36" i="3"/>
  <c r="M36" i="3"/>
  <c r="N36" i="3"/>
  <c r="L37" i="3"/>
  <c r="M37" i="3"/>
  <c r="N37" i="3"/>
  <c r="L38" i="3"/>
  <c r="M38" i="3"/>
  <c r="N38" i="3"/>
  <c r="L39" i="3"/>
  <c r="M39" i="3"/>
  <c r="N39" i="3"/>
  <c r="L40" i="3"/>
  <c r="M40" i="3"/>
  <c r="N40" i="3"/>
  <c r="L41" i="3"/>
  <c r="M41" i="3"/>
  <c r="N41" i="3"/>
  <c r="L42" i="3"/>
  <c r="M42" i="3"/>
  <c r="N42" i="3"/>
  <c r="L43" i="3"/>
  <c r="M43" i="3"/>
  <c r="N43" i="3"/>
  <c r="L44" i="3"/>
  <c r="M44" i="3"/>
  <c r="N44" i="3"/>
  <c r="L45" i="3"/>
  <c r="M45" i="3"/>
  <c r="N45" i="3"/>
  <c r="L46" i="3"/>
  <c r="M46" i="3"/>
  <c r="N46" i="3"/>
  <c r="L47" i="3"/>
  <c r="M47" i="3"/>
  <c r="N47" i="3"/>
  <c r="M35" i="3"/>
  <c r="N35" i="3"/>
  <c r="L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G47" i="3"/>
  <c r="H47" i="3"/>
  <c r="H35" i="3"/>
  <c r="G35" i="3"/>
  <c r="D71" i="3" l="1"/>
  <c r="C71" i="3"/>
  <c r="K165" i="3"/>
  <c r="L165" i="3" s="1"/>
  <c r="M165" i="3" s="1"/>
  <c r="S166" i="3"/>
  <c r="T166" i="3" s="1"/>
  <c r="U166" i="3" s="1"/>
  <c r="G179" i="3"/>
  <c r="H179" i="3" s="1"/>
  <c r="I179" i="3" s="1"/>
  <c r="K160" i="3"/>
  <c r="L160" i="3" s="1"/>
  <c r="M160" i="3" s="1"/>
  <c r="G166" i="3"/>
  <c r="H166" i="3" s="1"/>
  <c r="I166" i="3" s="1"/>
  <c r="O165" i="3"/>
  <c r="P165" i="3" s="1"/>
  <c r="Q165" i="3" s="1"/>
  <c r="G163" i="3"/>
  <c r="H163" i="3" s="1"/>
  <c r="I163" i="3" s="1"/>
  <c r="O161" i="3"/>
  <c r="P161" i="3" s="1"/>
  <c r="Q161" i="3" s="1"/>
  <c r="G180" i="3"/>
  <c r="H180" i="3" s="1"/>
  <c r="I180" i="3" s="1"/>
  <c r="G167" i="3"/>
  <c r="H167" i="3" s="1"/>
  <c r="I167" i="3" s="1"/>
  <c r="K159" i="3"/>
  <c r="L159" i="3" s="1"/>
  <c r="M159" i="3" s="1"/>
  <c r="K161" i="3"/>
  <c r="L161" i="3" s="1"/>
  <c r="M161" i="3" s="1"/>
  <c r="O166" i="3"/>
  <c r="P166" i="3" s="1"/>
  <c r="Q166" i="3" s="1"/>
  <c r="O162" i="3"/>
  <c r="P162" i="3" s="1"/>
  <c r="Q162" i="3" s="1"/>
  <c r="S167" i="3"/>
  <c r="T167" i="3" s="1"/>
  <c r="U167" i="3" s="1"/>
  <c r="S163" i="3"/>
  <c r="T163" i="3" s="1"/>
  <c r="U163" i="3" s="1"/>
  <c r="G162" i="3"/>
  <c r="H162" i="3" s="1"/>
  <c r="I162" i="3" s="1"/>
  <c r="K168" i="3"/>
  <c r="L168" i="3" s="1"/>
  <c r="M168" i="3" s="1"/>
  <c r="K164" i="3"/>
  <c r="L164" i="3" s="1"/>
  <c r="M164" i="3" s="1"/>
  <c r="O159" i="3"/>
  <c r="P159" i="3" s="1"/>
  <c r="Q159" i="3" s="1"/>
  <c r="S162" i="3"/>
  <c r="T162" i="3" s="1"/>
  <c r="U162" i="3" s="1"/>
  <c r="G159" i="3"/>
  <c r="H159" i="3" s="1"/>
  <c r="I159" i="3" s="1"/>
  <c r="G165" i="3"/>
  <c r="H165" i="3" s="1"/>
  <c r="I165" i="3" s="1"/>
  <c r="G161" i="3"/>
  <c r="H161" i="3" s="1"/>
  <c r="I161" i="3" s="1"/>
  <c r="K167" i="3"/>
  <c r="L167" i="3" s="1"/>
  <c r="M167" i="3" s="1"/>
  <c r="K163" i="3"/>
  <c r="L163" i="3" s="1"/>
  <c r="M163" i="3" s="1"/>
  <c r="K178" i="3"/>
  <c r="L178" i="3" s="1"/>
  <c r="M178" i="3" s="1"/>
  <c r="M181" i="3" s="1"/>
  <c r="O168" i="3"/>
  <c r="P168" i="3" s="1"/>
  <c r="Q168" i="3" s="1"/>
  <c r="O164" i="3"/>
  <c r="P164" i="3" s="1"/>
  <c r="Q164" i="3" s="1"/>
  <c r="O160" i="3"/>
  <c r="P160" i="3" s="1"/>
  <c r="Q160" i="3" s="1"/>
  <c r="Q169" i="3" s="1"/>
  <c r="G178" i="3"/>
  <c r="H178" i="3" s="1"/>
  <c r="I178" i="3" s="1"/>
  <c r="G168" i="3"/>
  <c r="H168" i="3" s="1"/>
  <c r="I168" i="3" s="1"/>
  <c r="G164" i="3"/>
  <c r="H164" i="3" s="1"/>
  <c r="I164" i="3" s="1"/>
  <c r="G160" i="3"/>
  <c r="H160" i="3" s="1"/>
  <c r="I160" i="3" s="1"/>
  <c r="D72" i="3"/>
  <c r="H147" i="3"/>
  <c r="I147" i="3" s="1"/>
  <c r="M90" i="3"/>
  <c r="H146" i="3"/>
  <c r="I146" i="3" s="1"/>
  <c r="H142" i="3"/>
  <c r="I142" i="3" s="1"/>
  <c r="H138" i="3"/>
  <c r="I138" i="3" s="1"/>
  <c r="D143" i="3"/>
  <c r="E143" i="3" s="1"/>
  <c r="H136" i="3"/>
  <c r="I136" i="3" s="1"/>
  <c r="H145" i="3"/>
  <c r="I145" i="3" s="1"/>
  <c r="H141" i="3"/>
  <c r="I141" i="3" s="1"/>
  <c r="H137" i="3"/>
  <c r="I137" i="3" s="1"/>
  <c r="H143" i="3"/>
  <c r="I143" i="3" s="1"/>
  <c r="H139" i="3"/>
  <c r="I139" i="3" s="1"/>
  <c r="D83" i="3"/>
  <c r="M82" i="3"/>
  <c r="D147" i="3"/>
  <c r="E147" i="3" s="1"/>
  <c r="D139" i="3"/>
  <c r="E139" i="3" s="1"/>
  <c r="O80" i="3"/>
  <c r="P80" i="3" s="1"/>
  <c r="F88" i="3"/>
  <c r="G88" i="3" s="1"/>
  <c r="D87" i="3"/>
  <c r="F80" i="3"/>
  <c r="G80" i="3" s="1"/>
  <c r="O88" i="3"/>
  <c r="P88" i="3" s="1"/>
  <c r="L137" i="3"/>
  <c r="M137" i="3" s="1"/>
  <c r="L141" i="3"/>
  <c r="M141" i="3" s="1"/>
  <c r="L145" i="3"/>
  <c r="M145" i="3" s="1"/>
  <c r="P139" i="3"/>
  <c r="Q139" i="3" s="1"/>
  <c r="D73" i="3"/>
  <c r="D86" i="3"/>
  <c r="F79" i="3"/>
  <c r="G79" i="3" s="1"/>
  <c r="O79" i="3"/>
  <c r="P79" i="3" s="1"/>
  <c r="H144" i="3"/>
  <c r="I144" i="3" s="1"/>
  <c r="H140" i="3"/>
  <c r="I140" i="3" s="1"/>
  <c r="D91" i="3"/>
  <c r="H148" i="3"/>
  <c r="I148" i="3" s="1"/>
  <c r="D90" i="3"/>
  <c r="D82" i="3"/>
  <c r="F84" i="3"/>
  <c r="G84" i="3" s="1"/>
  <c r="M86" i="3"/>
  <c r="O84" i="3"/>
  <c r="P84" i="3" s="1"/>
  <c r="D148" i="3"/>
  <c r="E148" i="3" s="1"/>
  <c r="D144" i="3"/>
  <c r="E144" i="3" s="1"/>
  <c r="F89" i="3"/>
  <c r="G89" i="3" s="1"/>
  <c r="F85" i="3"/>
  <c r="G85" i="3" s="1"/>
  <c r="F81" i="3"/>
  <c r="G81" i="3" s="1"/>
  <c r="M91" i="3"/>
  <c r="M87" i="3"/>
  <c r="M83" i="3"/>
  <c r="O89" i="3"/>
  <c r="P89" i="3" s="1"/>
  <c r="O85" i="3"/>
  <c r="P85" i="3" s="1"/>
  <c r="O81" i="3"/>
  <c r="P81" i="3" s="1"/>
  <c r="D140" i="3"/>
  <c r="E140" i="3" s="1"/>
  <c r="L136" i="3"/>
  <c r="M136" i="3" s="1"/>
  <c r="L140" i="3"/>
  <c r="M140" i="3" s="1"/>
  <c r="L144" i="3"/>
  <c r="M144" i="3" s="1"/>
  <c r="L148" i="3"/>
  <c r="M148" i="3" s="1"/>
  <c r="U143" i="3"/>
  <c r="V143" i="3" s="1"/>
  <c r="D146" i="3"/>
  <c r="E146" i="3" s="1"/>
  <c r="D142" i="3"/>
  <c r="E142" i="3" s="1"/>
  <c r="D138" i="3"/>
  <c r="E138" i="3" s="1"/>
  <c r="L138" i="3"/>
  <c r="M138" i="3" s="1"/>
  <c r="L142" i="3"/>
  <c r="M142" i="3" s="1"/>
  <c r="L146" i="3"/>
  <c r="M146" i="3" s="1"/>
  <c r="P141" i="3"/>
  <c r="Q141" i="3" s="1"/>
  <c r="U139" i="3"/>
  <c r="V139" i="3" s="1"/>
  <c r="D136" i="3"/>
  <c r="E136" i="3" s="1"/>
  <c r="D145" i="3"/>
  <c r="E145" i="3" s="1"/>
  <c r="D141" i="3"/>
  <c r="E141" i="3" s="1"/>
  <c r="D137" i="3"/>
  <c r="E137" i="3" s="1"/>
  <c r="L139" i="3"/>
  <c r="M139" i="3" s="1"/>
  <c r="L143" i="3"/>
  <c r="M143" i="3" s="1"/>
  <c r="L147" i="3"/>
  <c r="M147" i="3" s="1"/>
  <c r="P143" i="3"/>
  <c r="Q143" i="3" s="1"/>
  <c r="U141" i="3"/>
  <c r="V141" i="3" s="1"/>
  <c r="O35" i="3"/>
  <c r="K35" i="3" s="1"/>
  <c r="O46" i="3"/>
  <c r="K46" i="3" s="1"/>
  <c r="O42" i="3"/>
  <c r="K42" i="3" s="1"/>
  <c r="O38" i="3"/>
  <c r="K38" i="3" s="1"/>
  <c r="O44" i="3"/>
  <c r="K44" i="3" s="1"/>
  <c r="O45" i="3"/>
  <c r="K45" i="3" s="1"/>
  <c r="O41" i="3"/>
  <c r="K41" i="3" s="1"/>
  <c r="O37" i="3"/>
  <c r="K37" i="3" s="1"/>
  <c r="O40" i="3"/>
  <c r="K40" i="3" s="1"/>
  <c r="O36" i="3"/>
  <c r="K36" i="3" s="1"/>
  <c r="O47" i="3"/>
  <c r="K47" i="3" s="1"/>
  <c r="O43" i="3"/>
  <c r="K43" i="3" s="1"/>
  <c r="O39" i="3"/>
  <c r="K39" i="3" s="1"/>
  <c r="I45" i="3"/>
  <c r="F45" i="3" s="1"/>
  <c r="I37" i="3"/>
  <c r="F37" i="3" s="1"/>
  <c r="I36" i="3"/>
  <c r="F36" i="3" s="1"/>
  <c r="I44" i="3"/>
  <c r="F44" i="3" s="1"/>
  <c r="I40" i="3"/>
  <c r="F40" i="3" s="1"/>
  <c r="I39" i="3"/>
  <c r="F39" i="3" s="1"/>
  <c r="I41" i="3"/>
  <c r="F41" i="3" s="1"/>
  <c r="I35" i="3"/>
  <c r="F35" i="3" s="1"/>
  <c r="I46" i="3"/>
  <c r="F46" i="3" s="1"/>
  <c r="I42" i="3"/>
  <c r="F42" i="3" s="1"/>
  <c r="I38" i="3"/>
  <c r="F38" i="3" s="1"/>
  <c r="I47" i="3"/>
  <c r="F47" i="3" s="1"/>
  <c r="I43" i="3"/>
  <c r="F43" i="3" s="1"/>
  <c r="U169" i="3" l="1"/>
  <c r="M169" i="3"/>
  <c r="I181" i="3"/>
  <c r="I169" i="3"/>
  <c r="G92" i="3"/>
  <c r="V149" i="3"/>
  <c r="Q149" i="3"/>
  <c r="P92" i="3"/>
  <c r="M149" i="3"/>
  <c r="E149" i="3"/>
  <c r="I149" i="3"/>
  <c r="O48" i="3"/>
  <c r="I48" i="3"/>
  <c r="B49" i="3" l="1"/>
  <c r="A68" i="3" s="1"/>
  <c r="B9" i="3"/>
  <c r="B39" i="3" l="1"/>
  <c r="C39" i="3" s="1"/>
  <c r="D39" i="3" s="1"/>
  <c r="B43" i="3"/>
  <c r="C43" i="3" s="1"/>
  <c r="D43" i="3" s="1"/>
  <c r="B47" i="3"/>
  <c r="C47" i="3" s="1"/>
  <c r="D47" i="3" s="1"/>
  <c r="B37" i="3"/>
  <c r="C37" i="3" s="1"/>
  <c r="D37" i="3" s="1"/>
  <c r="B36" i="3"/>
  <c r="C36" i="3" s="1"/>
  <c r="D36" i="3" s="1"/>
  <c r="B40" i="3"/>
  <c r="C40" i="3" s="1"/>
  <c r="D40" i="3" s="1"/>
  <c r="B44" i="3"/>
  <c r="C44" i="3" s="1"/>
  <c r="D44" i="3" s="1"/>
  <c r="B35" i="3"/>
  <c r="C35" i="3" s="1"/>
  <c r="D35" i="3" s="1"/>
  <c r="B38" i="3"/>
  <c r="C38" i="3" s="1"/>
  <c r="D38" i="3" s="1"/>
  <c r="B42" i="3"/>
  <c r="C42" i="3" s="1"/>
  <c r="D42" i="3" s="1"/>
  <c r="B46" i="3"/>
  <c r="C46" i="3" s="1"/>
  <c r="D46" i="3" s="1"/>
  <c r="B41" i="3"/>
  <c r="C41" i="3" s="1"/>
  <c r="D41" i="3" s="1"/>
  <c r="B45" i="3"/>
  <c r="C45" i="3" s="1"/>
  <c r="D45" i="3" s="1"/>
  <c r="B8" i="3"/>
  <c r="G190" i="3" s="1"/>
  <c r="F95" i="3" l="1"/>
  <c r="O95" i="3"/>
  <c r="O154" i="3"/>
  <c r="D48" i="3"/>
  <c r="T154" i="3"/>
</calcChain>
</file>

<file path=xl/sharedStrings.xml><?xml version="1.0" encoding="utf-8"?>
<sst xmlns="http://schemas.openxmlformats.org/spreadsheetml/2006/main" count="112" uniqueCount="72">
  <si>
    <t>MHz</t>
  </si>
  <si>
    <t>m</t>
  </si>
  <si>
    <t>nat ab (%)</t>
  </si>
  <si>
    <t>nuc spin</t>
  </si>
  <si>
    <t>85Rb</t>
  </si>
  <si>
    <t>87Rb</t>
  </si>
  <si>
    <r>
      <t>J=10</t>
    </r>
    <r>
      <rPr>
        <sz val="11"/>
        <color theme="1"/>
        <rFont val="Calibri"/>
        <family val="2"/>
      </rPr>
      <t>→11, 11→12,</t>
    </r>
    <r>
      <rPr>
        <sz val="11"/>
        <color theme="1"/>
        <rFont val="Calibri"/>
        <family val="2"/>
        <scheme val="minor"/>
      </rPr>
      <t xml:space="preserve"> and 12→13</t>
    </r>
  </si>
  <si>
    <t>127I</t>
  </si>
  <si>
    <t>From A. Honig, M. Mandel, M. L. Stitch, C. H. Townes, Phys. Rev., 96, 629-642 (1954)</t>
  </si>
  <si>
    <r>
      <rPr>
        <sz val="11"/>
        <color theme="1"/>
        <rFont val="Calibri"/>
        <family val="2"/>
      </rPr>
      <t>ν=ν</t>
    </r>
    <r>
      <rPr>
        <vertAlign val="subscript"/>
        <sz val="11"/>
        <color theme="1"/>
        <rFont val="Calibri"/>
        <family val="2"/>
      </rPr>
      <t>ave</t>
    </r>
  </si>
  <si>
    <t>Model1</t>
  </si>
  <si>
    <t>dev</t>
  </si>
  <si>
    <t>dev^2</t>
  </si>
  <si>
    <t>Model2</t>
  </si>
  <si>
    <t>dev1^2</t>
  </si>
  <si>
    <t>dev2^2</t>
  </si>
  <si>
    <t>dev2min</t>
  </si>
  <si>
    <t>Model3</t>
  </si>
  <si>
    <t>dev3^2</t>
  </si>
  <si>
    <t>J+1</t>
  </si>
  <si>
    <t>J</t>
  </si>
  <si>
    <t>2B</t>
  </si>
  <si>
    <t>J Assignment #1</t>
  </si>
  <si>
    <t>B (MHz)</t>
  </si>
  <si>
    <t>B(cm-1)</t>
  </si>
  <si>
    <r>
      <t>h (*10</t>
    </r>
    <r>
      <rPr>
        <vertAlign val="superscript"/>
        <sz val="11"/>
        <color theme="1"/>
        <rFont val="Calibri"/>
        <family val="2"/>
        <scheme val="minor"/>
      </rPr>
      <t xml:space="preserve">34 </t>
    </r>
    <r>
      <rPr>
        <sz val="11"/>
        <color theme="1"/>
        <rFont val="Calibri"/>
        <family val="2"/>
        <scheme val="minor"/>
      </rPr>
      <t>Js)</t>
    </r>
  </si>
  <si>
    <t>I</t>
  </si>
  <si>
    <t>c (m/s)</t>
  </si>
  <si>
    <t>exact</t>
  </si>
  <si>
    <t>r</t>
  </si>
  <si>
    <r>
      <t>amu (*10</t>
    </r>
    <r>
      <rPr>
        <vertAlign val="superscript"/>
        <sz val="11"/>
        <color theme="1"/>
        <rFont val="Calibri"/>
        <family val="2"/>
        <scheme val="minor"/>
      </rPr>
      <t>27</t>
    </r>
    <r>
      <rPr>
        <sz val="11"/>
        <color theme="1"/>
        <rFont val="Calibri"/>
        <family val="2"/>
        <scheme val="minor"/>
      </rPr>
      <t xml:space="preserve"> kg)</t>
    </r>
  </si>
  <si>
    <t>pred</t>
  </si>
  <si>
    <t>difsq</t>
  </si>
  <si>
    <t>ν=2B(J+1)</t>
  </si>
  <si>
    <t>J Assignment #2</t>
  </si>
  <si>
    <t xml:space="preserve">J  </t>
  </si>
  <si>
    <t>eff B</t>
  </si>
  <si>
    <t>v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</si>
  <si>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=B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</rPr>
      <t>e</t>
    </r>
    <r>
      <rPr>
        <sz val="11"/>
        <color theme="1"/>
        <rFont val="Calibri"/>
        <family val="2"/>
      </rPr>
      <t>(v+1/2)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</si>
  <si>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</si>
  <si>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</si>
  <si>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</rPr>
      <t>e</t>
    </r>
  </si>
  <si>
    <t>dev2</t>
  </si>
  <si>
    <t>&lt;</t>
  </si>
  <si>
    <t>Model</t>
  </si>
  <si>
    <t>Model elim1</t>
  </si>
  <si>
    <t>Model elim2</t>
  </si>
  <si>
    <t>Species 1</t>
  </si>
  <si>
    <t>Species2</t>
  </si>
  <si>
    <t>ratio Be</t>
  </si>
  <si>
    <r>
      <t xml:space="preserve">ratio </t>
    </r>
    <r>
      <rPr>
        <sz val="11"/>
        <color theme="1"/>
        <rFont val="Calibri"/>
        <family val="2"/>
      </rPr>
      <t>μ</t>
    </r>
  </si>
  <si>
    <t>Spec</t>
  </si>
  <si>
    <t>Species</t>
  </si>
  <si>
    <r>
      <t>D</t>
    </r>
    <r>
      <rPr>
        <vertAlign val="subscript"/>
        <sz val="11"/>
        <color theme="1"/>
        <rFont val="Calibri"/>
        <family val="2"/>
      </rPr>
      <t>e</t>
    </r>
  </si>
  <si>
    <t>Model params</t>
  </si>
  <si>
    <t>diff</t>
  </si>
  <si>
    <t>diffsq</t>
  </si>
  <si>
    <t>Model4</t>
  </si>
  <si>
    <t>mass ratio</t>
  </si>
  <si>
    <r>
      <t>B</t>
    </r>
    <r>
      <rPr>
        <vertAlign val="subscript"/>
        <sz val="11"/>
        <color theme="1"/>
        <rFont val="Calibri"/>
        <family val="2"/>
      </rPr>
      <t>e</t>
    </r>
    <r>
      <rPr>
        <sz val="11"/>
        <color theme="1"/>
        <rFont val="Calibri"/>
        <family val="2"/>
      </rPr>
      <t xml:space="preserve"> ratio</t>
    </r>
  </si>
  <si>
    <t>highest</t>
  </si>
  <si>
    <t>J+1 highest</t>
  </si>
  <si>
    <t>First, plot the data.</t>
  </si>
  <si>
    <t>uncertainty</t>
  </si>
  <si>
    <t>Perform a cluster analysis</t>
  </si>
  <si>
    <t>Plot the cluster averages</t>
  </si>
  <si>
    <t>Two possible J assignments to consider.</t>
  </si>
  <si>
    <t>Cluster analysis of effective 2B for both assignments.</t>
  </si>
  <si>
    <t>Assumption of a single isotopomer, but doubling due to unknown effect.</t>
  </si>
  <si>
    <t>Analysis of Species 1</t>
  </si>
  <si>
    <t>Analysis of Species 2</t>
  </si>
  <si>
    <t>Compare Be and reduced mass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</si>
</sst>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0" fontId="0" fillId="2" borderId="0" xfId="0" applyFill="1"/>
    <xf numFmtId="0" fontId="2" fillId="2" borderId="0" xfId="0" applyFont="1" applyFill="1"/>
    <xf numFmtId="166" fontId="0" fillId="2" borderId="0" xfId="0" applyNumberForma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Microwave!$A$14:$A$26</c:f>
              <c:numCache>
                <c:formatCode>0.000</c:formatCode>
                <c:ptCount val="13"/>
                <c:pt idx="0">
                  <c:v>21617.58</c:v>
                </c:pt>
                <c:pt idx="1">
                  <c:v>23425.51</c:v>
                </c:pt>
                <c:pt idx="2">
                  <c:v>23503.98</c:v>
                </c:pt>
                <c:pt idx="3">
                  <c:v>25029.38</c:v>
                </c:pt>
                <c:pt idx="4">
                  <c:v>25038.99</c:v>
                </c:pt>
                <c:pt idx="5">
                  <c:v>25112.84</c:v>
                </c:pt>
                <c:pt idx="6">
                  <c:v>25123.45</c:v>
                </c:pt>
                <c:pt idx="7">
                  <c:v>25196.01</c:v>
                </c:pt>
                <c:pt idx="8">
                  <c:v>25207.88</c:v>
                </c:pt>
                <c:pt idx="9">
                  <c:v>25292.65</c:v>
                </c:pt>
                <c:pt idx="10">
                  <c:v>25377.33</c:v>
                </c:pt>
                <c:pt idx="11">
                  <c:v>25462.28</c:v>
                </c:pt>
                <c:pt idx="12">
                  <c:v>25547.52</c:v>
                </c:pt>
              </c:numCache>
            </c:numRef>
          </c:xVal>
          <c:yVal>
            <c:numRef>
              <c:f>Microwave!$C$14:$C$26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2 (Model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Microwave!$H$178:$H$180</c:f>
              <c:numCache>
                <c:formatCode>0.000</c:formatCode>
                <c:ptCount val="3"/>
                <c:pt idx="0">
                  <c:v>-4.8333333634218434E-2</c:v>
                </c:pt>
                <c:pt idx="1">
                  <c:v>9.6666666366218124E-2</c:v>
                </c:pt>
                <c:pt idx="2">
                  <c:v>-4.8333333634218434E-2</c:v>
                </c:pt>
              </c:numCache>
            </c:numRef>
          </c:xVal>
          <c:yVal>
            <c:numRef>
              <c:f>Microwave!$D$178:$D$180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768-43CD-8C6A-39023A0356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4AF-406A-B988-44297F4DCB7A}"/>
              </c:ext>
            </c:extLst>
          </c:dPt>
          <c:dPt>
            <c:idx val="1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4AF-406A-B988-44297F4DCB7A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4AF-406A-B988-44297F4DCB7A}"/>
              </c:ext>
            </c:extLst>
          </c:dPt>
          <c:xVal>
            <c:numRef>
              <c:f>Microwave!$L$159:$L$168</c:f>
              <c:numCache>
                <c:formatCode>0.000</c:formatCode>
                <c:ptCount val="10"/>
                <c:pt idx="0">
                  <c:v>0.29027522684918949</c:v>
                </c:pt>
                <c:pt idx="1">
                  <c:v>0.1539064460193913</c:v>
                </c:pt>
                <c:pt idx="2">
                  <c:v>0.13127489303224138</c:v>
                </c:pt>
                <c:pt idx="3">
                  <c:v>-4.0051153675449314E-2</c:v>
                </c:pt>
                <c:pt idx="4">
                  <c:v>6.4539277180301724E-2</c:v>
                </c:pt>
                <c:pt idx="5">
                  <c:v>-3.0438945275818696E-2</c:v>
                </c:pt>
                <c:pt idx="6">
                  <c:v>4.5014178947894834E-2</c:v>
                </c:pt>
                <c:pt idx="7">
                  <c:v>-0.13910135014157277</c:v>
                </c:pt>
                <c:pt idx="8">
                  <c:v>-0.2227855325472774</c:v>
                </c:pt>
                <c:pt idx="9">
                  <c:v>-0.18603836826878251</c:v>
                </c:pt>
              </c:numCache>
            </c:numRef>
          </c:xVal>
          <c:yVal>
            <c:numRef>
              <c:f>Microwave!$D$159:$D$168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4AF-406A-B988-44297F4DCB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Microwave!$L$159:$L$168</c:f>
              <c:numCache>
                <c:formatCode>0.000</c:formatCode>
                <c:ptCount val="10"/>
                <c:pt idx="0">
                  <c:v>0.29027522684918949</c:v>
                </c:pt>
                <c:pt idx="1">
                  <c:v>0.1539064460193913</c:v>
                </c:pt>
                <c:pt idx="2">
                  <c:v>0.13127489303224138</c:v>
                </c:pt>
                <c:pt idx="3">
                  <c:v>-4.0051153675449314E-2</c:v>
                </c:pt>
                <c:pt idx="4">
                  <c:v>6.4539277180301724E-2</c:v>
                </c:pt>
                <c:pt idx="5">
                  <c:v>-3.0438945275818696E-2</c:v>
                </c:pt>
                <c:pt idx="6">
                  <c:v>4.5014178947894834E-2</c:v>
                </c:pt>
                <c:pt idx="7">
                  <c:v>-0.13910135014157277</c:v>
                </c:pt>
                <c:pt idx="8">
                  <c:v>-0.2227855325472774</c:v>
                </c:pt>
                <c:pt idx="9">
                  <c:v>-0.18603836826878251</c:v>
                </c:pt>
              </c:numCache>
            </c:numRef>
          </c:xVal>
          <c:yVal>
            <c:numRef>
              <c:f>Microwave!$E$159:$E$168</c:f>
              <c:numCache>
                <c:formatCode>General</c:formatCode>
                <c:ptCount val="1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2E3-44C4-8851-55C6729141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3)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537B-4E2D-9D58-81AC10BD726C}"/>
              </c:ext>
            </c:extLst>
          </c:dPt>
          <c:dPt>
            <c:idx val="1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537B-4E2D-9D58-81AC10BD726C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537B-4E2D-9D58-81AC10BD726C}"/>
              </c:ext>
            </c:extLst>
          </c:dPt>
          <c:xVal>
            <c:numRef>
              <c:f>Microwave!$P$159:$P$168</c:f>
              <c:numCache>
                <c:formatCode>0.000</c:formatCode>
                <c:ptCount val="10"/>
                <c:pt idx="0">
                  <c:v>0.20931435056263581</c:v>
                </c:pt>
                <c:pt idx="1">
                  <c:v>-0.3065450840149424</c:v>
                </c:pt>
                <c:pt idx="2">
                  <c:v>-6.1848069319239585E-2</c:v>
                </c:pt>
                <c:pt idx="3">
                  <c:v>0.37408376346502337</c:v>
                </c:pt>
                <c:pt idx="4">
                  <c:v>9.0005529382324312E-2</c:v>
                </c:pt>
                <c:pt idx="5">
                  <c:v>-0.22407270469557261</c:v>
                </c:pt>
                <c:pt idx="6">
                  <c:v>-0.19815093877696199</c:v>
                </c:pt>
                <c:pt idx="7">
                  <c:v>-0.26222917285485892</c:v>
                </c:pt>
                <c:pt idx="8">
                  <c:v>-5.6307406939595239E-2</c:v>
                </c:pt>
                <c:pt idx="9">
                  <c:v>0.43961435898017953</c:v>
                </c:pt>
              </c:numCache>
            </c:numRef>
          </c:xVal>
          <c:yVal>
            <c:numRef>
              <c:f>Microwave!$D$159:$D$168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537B-4E2D-9D58-81AC10BD726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3)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Microwave!$P$159:$P$168</c:f>
              <c:numCache>
                <c:formatCode>0.000</c:formatCode>
                <c:ptCount val="10"/>
                <c:pt idx="0">
                  <c:v>0.20931435056263581</c:v>
                </c:pt>
                <c:pt idx="1">
                  <c:v>-0.3065450840149424</c:v>
                </c:pt>
                <c:pt idx="2">
                  <c:v>-6.1848069319239585E-2</c:v>
                </c:pt>
                <c:pt idx="3">
                  <c:v>0.37408376346502337</c:v>
                </c:pt>
                <c:pt idx="4">
                  <c:v>9.0005529382324312E-2</c:v>
                </c:pt>
                <c:pt idx="5">
                  <c:v>-0.22407270469557261</c:v>
                </c:pt>
                <c:pt idx="6">
                  <c:v>-0.19815093877696199</c:v>
                </c:pt>
                <c:pt idx="7">
                  <c:v>-0.26222917285485892</c:v>
                </c:pt>
                <c:pt idx="8">
                  <c:v>-5.6307406939595239E-2</c:v>
                </c:pt>
                <c:pt idx="9">
                  <c:v>0.43961435898017953</c:v>
                </c:pt>
              </c:numCache>
            </c:numRef>
          </c:xVal>
          <c:yVal>
            <c:numRef>
              <c:f>Microwave!$E$159:$E$168</c:f>
              <c:numCache>
                <c:formatCode>General</c:formatCode>
                <c:ptCount val="1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4E-449D-B104-34A42D6C84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4)</a:t>
            </a:r>
            <a:endParaRPr lang="en-CA"/>
          </a:p>
        </c:rich>
      </c:tx>
      <c:layout>
        <c:manualLayout>
          <c:xMode val="edge"/>
          <c:yMode val="edge"/>
          <c:x val="0.2464374453193350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3863-4629-A395-EF39F562BFE5}"/>
              </c:ext>
            </c:extLst>
          </c:dPt>
          <c:dPt>
            <c:idx val="1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3863-4629-A395-EF39F562BFE5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3863-4629-A395-EF39F562BFE5}"/>
              </c:ext>
            </c:extLst>
          </c:dPt>
          <c:xVal>
            <c:numRef>
              <c:f>Microwave!$T$159:$T$168</c:f>
              <c:numCache>
                <c:formatCode>0.000</c:formatCode>
                <c:ptCount val="10"/>
                <c:pt idx="0">
                  <c:v>1.9063008949160576E-9</c:v>
                </c:pt>
                <c:pt idx="1">
                  <c:v>0.15744463054215885</c:v>
                </c:pt>
                <c:pt idx="2">
                  <c:v>0.1958748870420095</c:v>
                </c:pt>
                <c:pt idx="3">
                  <c:v>-6.085203025577357E-3</c:v>
                </c:pt>
                <c:pt idx="4">
                  <c:v>4.6761884696024936E-2</c:v>
                </c:pt>
                <c:pt idx="5">
                  <c:v>-7.0486271706613479E-2</c:v>
                </c:pt>
                <c:pt idx="6">
                  <c:v>1.2170327758212807E-2</c:v>
                </c:pt>
                <c:pt idx="7">
                  <c:v>-0.13526831690978725</c:v>
                </c:pt>
                <c:pt idx="8">
                  <c:v>-0.1528022057027556</c:v>
                </c:pt>
                <c:pt idx="9">
                  <c:v>-2.043133862389368E-2</c:v>
                </c:pt>
              </c:numCache>
            </c:numRef>
          </c:xVal>
          <c:yVal>
            <c:numRef>
              <c:f>Microwave!$D$159:$D$168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863-4629-A395-EF39F562B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4)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Microwave!$T$159:$T$168</c:f>
              <c:numCache>
                <c:formatCode>0.000</c:formatCode>
                <c:ptCount val="10"/>
                <c:pt idx="0">
                  <c:v>1.9063008949160576E-9</c:v>
                </c:pt>
                <c:pt idx="1">
                  <c:v>0.15744463054215885</c:v>
                </c:pt>
                <c:pt idx="2">
                  <c:v>0.1958748870420095</c:v>
                </c:pt>
                <c:pt idx="3">
                  <c:v>-6.085203025577357E-3</c:v>
                </c:pt>
                <c:pt idx="4">
                  <c:v>4.6761884696024936E-2</c:v>
                </c:pt>
                <c:pt idx="5">
                  <c:v>-7.0486271706613479E-2</c:v>
                </c:pt>
                <c:pt idx="6">
                  <c:v>1.2170327758212807E-2</c:v>
                </c:pt>
                <c:pt idx="7">
                  <c:v>-0.13526831690978725</c:v>
                </c:pt>
                <c:pt idx="8">
                  <c:v>-0.1528022057027556</c:v>
                </c:pt>
                <c:pt idx="9">
                  <c:v>-2.043133862389368E-2</c:v>
                </c:pt>
              </c:numCache>
            </c:numRef>
          </c:xVal>
          <c:yVal>
            <c:numRef>
              <c:f>Microwave!$E$159:$E$168</c:f>
              <c:numCache>
                <c:formatCode>General</c:formatCode>
                <c:ptCount val="1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135-4677-B702-CA33E55FDC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(Microwave!$A$55:$A$67,Microwave!$A$71:$A$73)</c:f>
              <c:numCache>
                <c:formatCode>0.000</c:formatCode>
                <c:ptCount val="16"/>
                <c:pt idx="0">
                  <c:v>21617.58</c:v>
                </c:pt>
                <c:pt idx="1">
                  <c:v>23425.51</c:v>
                </c:pt>
                <c:pt idx="2">
                  <c:v>23503.98</c:v>
                </c:pt>
                <c:pt idx="3">
                  <c:v>25029.38</c:v>
                </c:pt>
                <c:pt idx="4">
                  <c:v>25038.99</c:v>
                </c:pt>
                <c:pt idx="5">
                  <c:v>25112.84</c:v>
                </c:pt>
                <c:pt idx="6">
                  <c:v>25123.45</c:v>
                </c:pt>
                <c:pt idx="7">
                  <c:v>25196.01</c:v>
                </c:pt>
                <c:pt idx="8">
                  <c:v>25207.88</c:v>
                </c:pt>
                <c:pt idx="9">
                  <c:v>25292.65</c:v>
                </c:pt>
                <c:pt idx="10">
                  <c:v>25377.33</c:v>
                </c:pt>
                <c:pt idx="11">
                  <c:v>25462.28</c:v>
                </c:pt>
                <c:pt idx="12">
                  <c:v>25547.52</c:v>
                </c:pt>
                <c:pt idx="13" formatCode="General">
                  <c:v>21617.579999538699</c:v>
                </c:pt>
                <c:pt idx="14" formatCode="General">
                  <c:v>23464.745000356172</c:v>
                </c:pt>
                <c:pt idx="15" formatCode="General">
                  <c:v>25238.833001036546</c:v>
                </c:pt>
              </c:numCache>
            </c:numRef>
          </c:xVal>
          <c:yVal>
            <c:numRef>
              <c:f>(Microwave!$B$55:$B$67,Microwave!$B$71:$B$73)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EF2-445A-BD26-EB6DCD4ADE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53232"/>
        <c:axId val="327857824"/>
      </c:scatterChart>
      <c:valAx>
        <c:axId val="32785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7824"/>
        <c:crosses val="autoZero"/>
        <c:crossBetween val="midCat"/>
      </c:valAx>
      <c:valAx>
        <c:axId val="3278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32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Microwave!$A$55:$A$73</c:f>
              <c:numCache>
                <c:formatCode>0.000</c:formatCode>
                <c:ptCount val="19"/>
                <c:pt idx="0">
                  <c:v>21617.58</c:v>
                </c:pt>
                <c:pt idx="1">
                  <c:v>23425.51</c:v>
                </c:pt>
                <c:pt idx="2">
                  <c:v>23503.98</c:v>
                </c:pt>
                <c:pt idx="3">
                  <c:v>25029.38</c:v>
                </c:pt>
                <c:pt idx="4">
                  <c:v>25038.99</c:v>
                </c:pt>
                <c:pt idx="5">
                  <c:v>25112.84</c:v>
                </c:pt>
                <c:pt idx="6">
                  <c:v>25123.45</c:v>
                </c:pt>
                <c:pt idx="7">
                  <c:v>25196.01</c:v>
                </c:pt>
                <c:pt idx="8">
                  <c:v>25207.88</c:v>
                </c:pt>
                <c:pt idx="9">
                  <c:v>25292.65</c:v>
                </c:pt>
                <c:pt idx="10">
                  <c:v>25377.33</c:v>
                </c:pt>
                <c:pt idx="11">
                  <c:v>25462.28</c:v>
                </c:pt>
                <c:pt idx="12">
                  <c:v>25547.52</c:v>
                </c:pt>
                <c:pt idx="13">
                  <c:v>24687.338461538464</c:v>
                </c:pt>
                <c:pt idx="14" formatCode="General">
                  <c:v>22849.023350599058</c:v>
                </c:pt>
                <c:pt idx="15" formatCode="General">
                  <c:v>25238.832976106733</c:v>
                </c:pt>
                <c:pt idx="16" formatCode="General">
                  <c:v>21617.579999538699</c:v>
                </c:pt>
                <c:pt idx="17" formatCode="General">
                  <c:v>23464.745000356172</c:v>
                </c:pt>
                <c:pt idx="18" formatCode="General">
                  <c:v>25238.833001036546</c:v>
                </c:pt>
              </c:numCache>
            </c:numRef>
          </c:xVal>
          <c:yVal>
            <c:numRef>
              <c:f>Microwave!$B$55:$B$73</c:f>
              <c:numCache>
                <c:formatCode>General</c:formatCode>
                <c:ptCount val="1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</c:v>
                </c:pt>
                <c:pt idx="14">
                  <c:v>2</c:v>
                </c:pt>
                <c:pt idx="15">
                  <c:v>2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421-488B-A3E3-3A42A8E9FC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53232"/>
        <c:axId val="327857824"/>
      </c:scatterChart>
      <c:valAx>
        <c:axId val="32785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7824"/>
        <c:crosses val="autoZero"/>
        <c:crossBetween val="midCat"/>
      </c:valAx>
      <c:valAx>
        <c:axId val="3278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32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effective 2B, Assignment</a:t>
            </a:r>
            <a:r>
              <a:rPr lang="en-CA" baseline="0"/>
              <a:t> #1 </a:t>
            </a:r>
            <a:br>
              <a:rPr lang="en-CA" baseline="0"/>
            </a:br>
            <a:r>
              <a:rPr lang="en-CA" baseline="0"/>
              <a:t>(J = 11,12,13)</a:t>
            </a:r>
            <a:endParaRPr lang="en-CA"/>
          </a:p>
        </c:rich>
      </c:tx>
      <c:layout>
        <c:manualLayout>
          <c:xMode val="edge"/>
          <c:yMode val="edge"/>
          <c:x val="0.17361607949412827"/>
          <c:y val="2.645833333333333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Microwave!$A$101:$A$113</c:f>
              <c:numCache>
                <c:formatCode>General</c:formatCode>
                <c:ptCount val="13"/>
                <c:pt idx="0">
                  <c:v>1801.4650000000001</c:v>
                </c:pt>
                <c:pt idx="1">
                  <c:v>1801.9623076923076</c:v>
                </c:pt>
                <c:pt idx="2">
                  <c:v>1807.9984615384615</c:v>
                </c:pt>
                <c:pt idx="3">
                  <c:v>1787.8128571428572</c:v>
                </c:pt>
                <c:pt idx="4">
                  <c:v>1788.4992857142859</c:v>
                </c:pt>
                <c:pt idx="5">
                  <c:v>1793.7742857142857</c:v>
                </c:pt>
                <c:pt idx="6">
                  <c:v>1794.5321428571428</c:v>
                </c:pt>
                <c:pt idx="7">
                  <c:v>1799.7149999999999</c:v>
                </c:pt>
                <c:pt idx="8">
                  <c:v>1800.5628571428572</c:v>
                </c:pt>
                <c:pt idx="9">
                  <c:v>1806.6178571428572</c:v>
                </c:pt>
                <c:pt idx="10">
                  <c:v>1812.6664285714287</c:v>
                </c:pt>
                <c:pt idx="11">
                  <c:v>1818.7342857142855</c:v>
                </c:pt>
                <c:pt idx="12">
                  <c:v>1824.8228571428572</c:v>
                </c:pt>
              </c:numCache>
            </c:numRef>
          </c:xVal>
          <c:yVal>
            <c:numRef>
              <c:f>Microwave!$B$101:$B$113</c:f>
              <c:numCache>
                <c:formatCode>General</c:formatCode>
                <c:ptCount val="13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989-49CC-BB75-2F6C2DDBF31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Microwave!$A$101:$A$113</c:f>
              <c:numCache>
                <c:formatCode>General</c:formatCode>
                <c:ptCount val="13"/>
                <c:pt idx="0">
                  <c:v>1801.4650000000001</c:v>
                </c:pt>
                <c:pt idx="1">
                  <c:v>1801.9623076923076</c:v>
                </c:pt>
                <c:pt idx="2">
                  <c:v>1807.9984615384615</c:v>
                </c:pt>
                <c:pt idx="3">
                  <c:v>1787.8128571428572</c:v>
                </c:pt>
                <c:pt idx="4">
                  <c:v>1788.4992857142859</c:v>
                </c:pt>
                <c:pt idx="5">
                  <c:v>1793.7742857142857</c:v>
                </c:pt>
                <c:pt idx="6">
                  <c:v>1794.5321428571428</c:v>
                </c:pt>
                <c:pt idx="7">
                  <c:v>1799.7149999999999</c:v>
                </c:pt>
                <c:pt idx="8">
                  <c:v>1800.5628571428572</c:v>
                </c:pt>
                <c:pt idx="9">
                  <c:v>1806.6178571428572</c:v>
                </c:pt>
                <c:pt idx="10">
                  <c:v>1812.6664285714287</c:v>
                </c:pt>
                <c:pt idx="11">
                  <c:v>1818.7342857142855</c:v>
                </c:pt>
                <c:pt idx="12">
                  <c:v>1824.8228571428572</c:v>
                </c:pt>
              </c:numCache>
            </c:numRef>
          </c:xVal>
          <c:yVal>
            <c:numRef>
              <c:f>Microwave!$C$101:$C$113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DD-4148-846E-5C65202330E7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Microwave!$A$101:$A$113</c:f>
              <c:numCache>
                <c:formatCode>General</c:formatCode>
                <c:ptCount val="13"/>
                <c:pt idx="0">
                  <c:v>1801.4650000000001</c:v>
                </c:pt>
                <c:pt idx="1">
                  <c:v>1801.9623076923076</c:v>
                </c:pt>
                <c:pt idx="2">
                  <c:v>1807.9984615384615</c:v>
                </c:pt>
                <c:pt idx="3">
                  <c:v>1787.8128571428572</c:v>
                </c:pt>
                <c:pt idx="4">
                  <c:v>1788.4992857142859</c:v>
                </c:pt>
                <c:pt idx="5">
                  <c:v>1793.7742857142857</c:v>
                </c:pt>
                <c:pt idx="6">
                  <c:v>1794.5321428571428</c:v>
                </c:pt>
                <c:pt idx="7">
                  <c:v>1799.7149999999999</c:v>
                </c:pt>
                <c:pt idx="8">
                  <c:v>1800.5628571428572</c:v>
                </c:pt>
                <c:pt idx="9">
                  <c:v>1806.6178571428572</c:v>
                </c:pt>
                <c:pt idx="10">
                  <c:v>1812.6664285714287</c:v>
                </c:pt>
                <c:pt idx="11">
                  <c:v>1818.7342857142855</c:v>
                </c:pt>
                <c:pt idx="12">
                  <c:v>1824.8228571428572</c:v>
                </c:pt>
              </c:numCache>
            </c:numRef>
          </c:xVal>
          <c:yVal>
            <c:numRef>
              <c:f>Microwave!$E$101:$E$113</c:f>
              <c:numCache>
                <c:formatCode>General</c:formatCode>
                <c:ptCount val="13"/>
                <c:pt idx="0">
                  <c:v>2.2000000000000002</c:v>
                </c:pt>
                <c:pt idx="1">
                  <c:v>2.4</c:v>
                </c:pt>
                <c:pt idx="2">
                  <c:v>2.4</c:v>
                </c:pt>
                <c:pt idx="3">
                  <c:v>1.6</c:v>
                </c:pt>
                <c:pt idx="4">
                  <c:v>1.6</c:v>
                </c:pt>
                <c:pt idx="5">
                  <c:v>1.6</c:v>
                </c:pt>
                <c:pt idx="6">
                  <c:v>1.6</c:v>
                </c:pt>
                <c:pt idx="7">
                  <c:v>1.6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B32-45BB-80E4-A74874186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474832"/>
        <c:axId val="446477456"/>
      </c:scatterChart>
      <c:valAx>
        <c:axId val="44647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2B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7456"/>
        <c:crosses val="autoZero"/>
        <c:crossBetween val="midCat"/>
      </c:valAx>
      <c:valAx>
        <c:axId val="44647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48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effective 2B, Assignment</a:t>
            </a:r>
            <a:r>
              <a:rPr lang="en-CA" baseline="0"/>
              <a:t> #2 </a:t>
            </a:r>
            <a:br>
              <a:rPr lang="en-CA" baseline="0"/>
            </a:br>
            <a:r>
              <a:rPr lang="en-CA" baseline="0"/>
              <a:t>(J = 10,11,12)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Microwave!$A$115:$A$127</c:f>
              <c:numCache>
                <c:formatCode>General</c:formatCode>
                <c:ptCount val="13"/>
                <c:pt idx="0">
                  <c:v>1965.2345454545457</c:v>
                </c:pt>
                <c:pt idx="1">
                  <c:v>1952.1258333333333</c:v>
                </c:pt>
                <c:pt idx="2">
                  <c:v>1958.665</c:v>
                </c:pt>
                <c:pt idx="3">
                  <c:v>1925.3369230769231</c:v>
                </c:pt>
                <c:pt idx="4">
                  <c:v>1926.0761538461541</c:v>
                </c:pt>
                <c:pt idx="5">
                  <c:v>1931.7569230769232</c:v>
                </c:pt>
                <c:pt idx="6">
                  <c:v>1932.573076923077</c:v>
                </c:pt>
                <c:pt idx="7">
                  <c:v>1938.1546153846152</c:v>
                </c:pt>
                <c:pt idx="8">
                  <c:v>1939.0676923076924</c:v>
                </c:pt>
                <c:pt idx="9">
                  <c:v>1945.5884615384616</c:v>
                </c:pt>
                <c:pt idx="10">
                  <c:v>1952.1023076923079</c:v>
                </c:pt>
                <c:pt idx="11">
                  <c:v>1958.636923076923</c:v>
                </c:pt>
                <c:pt idx="12">
                  <c:v>1965.1938461538462</c:v>
                </c:pt>
              </c:numCache>
            </c:numRef>
          </c:xVal>
          <c:yVal>
            <c:numRef>
              <c:f>Microwave!$B$115:$B$127</c:f>
              <c:numCache>
                <c:formatCode>General</c:formatCode>
                <c:ptCount val="13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2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47-41C9-8AF6-C64667F4B62E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Microwave!$A$115:$A$127</c:f>
              <c:numCache>
                <c:formatCode>General</c:formatCode>
                <c:ptCount val="13"/>
                <c:pt idx="0">
                  <c:v>1965.2345454545457</c:v>
                </c:pt>
                <c:pt idx="1">
                  <c:v>1952.1258333333333</c:v>
                </c:pt>
                <c:pt idx="2">
                  <c:v>1958.665</c:v>
                </c:pt>
                <c:pt idx="3">
                  <c:v>1925.3369230769231</c:v>
                </c:pt>
                <c:pt idx="4">
                  <c:v>1926.0761538461541</c:v>
                </c:pt>
                <c:pt idx="5">
                  <c:v>1931.7569230769232</c:v>
                </c:pt>
                <c:pt idx="6">
                  <c:v>1932.573076923077</c:v>
                </c:pt>
                <c:pt idx="7">
                  <c:v>1938.1546153846152</c:v>
                </c:pt>
                <c:pt idx="8">
                  <c:v>1939.0676923076924</c:v>
                </c:pt>
                <c:pt idx="9">
                  <c:v>1945.5884615384616</c:v>
                </c:pt>
                <c:pt idx="10">
                  <c:v>1952.1023076923079</c:v>
                </c:pt>
                <c:pt idx="11">
                  <c:v>1958.636923076923</c:v>
                </c:pt>
                <c:pt idx="12">
                  <c:v>1965.1938461538462</c:v>
                </c:pt>
              </c:numCache>
            </c:numRef>
          </c:xVal>
          <c:yVal>
            <c:numRef>
              <c:f>Microwave!$C$115:$C$127</c:f>
              <c:numCache>
                <c:formatCode>General</c:formatCode>
                <c:ptCount val="1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2E4-49F8-9629-1CE0B198FCC5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Microwave!$A$115:$A$127</c:f>
              <c:numCache>
                <c:formatCode>General</c:formatCode>
                <c:ptCount val="13"/>
                <c:pt idx="0">
                  <c:v>1965.2345454545457</c:v>
                </c:pt>
                <c:pt idx="1">
                  <c:v>1952.1258333333333</c:v>
                </c:pt>
                <c:pt idx="2">
                  <c:v>1958.665</c:v>
                </c:pt>
                <c:pt idx="3">
                  <c:v>1925.3369230769231</c:v>
                </c:pt>
                <c:pt idx="4">
                  <c:v>1926.0761538461541</c:v>
                </c:pt>
                <c:pt idx="5">
                  <c:v>1931.7569230769232</c:v>
                </c:pt>
                <c:pt idx="6">
                  <c:v>1932.573076923077</c:v>
                </c:pt>
                <c:pt idx="7">
                  <c:v>1938.1546153846152</c:v>
                </c:pt>
                <c:pt idx="8">
                  <c:v>1939.0676923076924</c:v>
                </c:pt>
                <c:pt idx="9">
                  <c:v>1945.5884615384616</c:v>
                </c:pt>
                <c:pt idx="10">
                  <c:v>1952.1023076923079</c:v>
                </c:pt>
                <c:pt idx="11">
                  <c:v>1958.636923076923</c:v>
                </c:pt>
                <c:pt idx="12">
                  <c:v>1965.1938461538462</c:v>
                </c:pt>
              </c:numCache>
            </c:numRef>
          </c:xVal>
          <c:yVal>
            <c:numRef>
              <c:f>Microwave!$E$115:$E$127</c:f>
              <c:numCache>
                <c:formatCode>General</c:formatCode>
                <c:ptCount val="13"/>
                <c:pt idx="0">
                  <c:v>1.2</c:v>
                </c:pt>
                <c:pt idx="1">
                  <c:v>1.4</c:v>
                </c:pt>
                <c:pt idx="2">
                  <c:v>1.4</c:v>
                </c:pt>
                <c:pt idx="3">
                  <c:v>2.6</c:v>
                </c:pt>
                <c:pt idx="4">
                  <c:v>1.6</c:v>
                </c:pt>
                <c:pt idx="5">
                  <c:v>2.6</c:v>
                </c:pt>
                <c:pt idx="6">
                  <c:v>1.6</c:v>
                </c:pt>
                <c:pt idx="7">
                  <c:v>2.6</c:v>
                </c:pt>
                <c:pt idx="8">
                  <c:v>1.6</c:v>
                </c:pt>
                <c:pt idx="9">
                  <c:v>1.6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BED-4F40-9E5B-1FE65F974F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474832"/>
        <c:axId val="446477456"/>
      </c:scatterChart>
      <c:valAx>
        <c:axId val="44647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2B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7456"/>
        <c:crosses val="autoZero"/>
        <c:crossBetween val="midCat"/>
      </c:valAx>
      <c:valAx>
        <c:axId val="44647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48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B (Model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Microwave!$D$136:$D$148</c:f>
              <c:numCache>
                <c:formatCode>General</c:formatCode>
                <c:ptCount val="13"/>
                <c:pt idx="0">
                  <c:v>-5.3359469078486654E-3</c:v>
                </c:pt>
                <c:pt idx="1">
                  <c:v>4.7372698694175597E-2</c:v>
                </c:pt>
                <c:pt idx="2">
                  <c:v>1.3423678923459192E-2</c:v>
                </c:pt>
                <c:pt idx="3">
                  <c:v>-0.13295301709433716</c:v>
                </c:pt>
                <c:pt idx="4">
                  <c:v>0.23666236752114855</c:v>
                </c:pt>
                <c:pt idx="5">
                  <c:v>-0.22648537019836112</c:v>
                </c:pt>
                <c:pt idx="6">
                  <c:v>0.1815915528785581</c:v>
                </c:pt>
                <c:pt idx="7">
                  <c:v>-0.33117156945650095</c:v>
                </c:pt>
                <c:pt idx="8">
                  <c:v>0.12536689208207008</c:v>
                </c:pt>
                <c:pt idx="9">
                  <c:v>8.2219154362519475E-2</c:v>
                </c:pt>
                <c:pt idx="10">
                  <c:v>3.5609878181503518E-2</c:v>
                </c:pt>
                <c:pt idx="11">
                  <c:v>-6.1478261500269582E-4</c:v>
                </c:pt>
                <c:pt idx="12">
                  <c:v>-2.5685597257620429E-2</c:v>
                </c:pt>
              </c:numCache>
            </c:numRef>
          </c:xVal>
          <c:yVal>
            <c:numRef>
              <c:f>Microwave!$B$136:$B$148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178-48E0-A0A7-CF10AF2DD6C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B (Model 1 Elim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Microwave!$H$136:$H$148</c:f>
              <c:numCache>
                <c:formatCode>General</c:formatCode>
                <c:ptCount val="13"/>
                <c:pt idx="0">
                  <c:v>1.4588878134418337E-2</c:v>
                </c:pt>
                <c:pt idx="1">
                  <c:v>3.6391067515069153E-3</c:v>
                </c:pt>
                <c:pt idx="2">
                  <c:v>1.519295473258353E-3</c:v>
                </c:pt>
                <c:pt idx="3">
                  <c:v>-0.30400344300699089</c:v>
                </c:pt>
                <c:pt idx="4">
                  <c:v>6.5611941608494817E-2</c:v>
                </c:pt>
                <c:pt idx="5">
                  <c:v>-0.36570658761866071</c:v>
                </c:pt>
                <c:pt idx="6">
                  <c:v>4.2370335458258523E-2</c:v>
                </c:pt>
                <c:pt idx="7">
                  <c:v>-0.438563578384219</c:v>
                </c:pt>
                <c:pt idx="8">
                  <c:v>1.7974883154352028E-2</c:v>
                </c:pt>
                <c:pt idx="9">
                  <c:v>6.6563539272692651E-3</c:v>
                </c:pt>
                <c:pt idx="10">
                  <c:v>-8.1237137611651633E-3</c:v>
                </c:pt>
                <c:pt idx="11">
                  <c:v>-1.2519166065203535E-2</c:v>
                </c:pt>
                <c:pt idx="12">
                  <c:v>-5.7607722153534269E-3</c:v>
                </c:pt>
              </c:numCache>
            </c:numRef>
          </c:xVal>
          <c:yVal>
            <c:numRef>
              <c:f>Microwave!$B$136:$B$148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E0F-4276-82FF-0BFC48CE642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B (Model 1 Elim 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Microwave!$L$136:$L$148</c:f>
              <c:numCache>
                <c:formatCode>General</c:formatCode>
                <c:ptCount val="13"/>
                <c:pt idx="0">
                  <c:v>2.5438519225644995E-2</c:v>
                </c:pt>
                <c:pt idx="1">
                  <c:v>-5.0490487442402809E-3</c:v>
                </c:pt>
                <c:pt idx="2">
                  <c:v>2.600038270998084E-3</c:v>
                </c:pt>
                <c:pt idx="3">
                  <c:v>-0.3517671916766858</c:v>
                </c:pt>
                <c:pt idx="4">
                  <c:v>1.7848192938799912E-2</c:v>
                </c:pt>
                <c:pt idx="5">
                  <c:v>-0.40370143799486868</c:v>
                </c:pt>
                <c:pt idx="6">
                  <c:v>4.3754850820505453E-3</c:v>
                </c:pt>
                <c:pt idx="7">
                  <c:v>-0.46678953046694005</c:v>
                </c:pt>
                <c:pt idx="8">
                  <c:v>-1.0251068928369023E-2</c:v>
                </c:pt>
                <c:pt idx="9">
                  <c:v>-1.1800699861851172E-2</c:v>
                </c:pt>
                <c:pt idx="10">
                  <c:v>-1.681186925691236E-2</c:v>
                </c:pt>
                <c:pt idx="11">
                  <c:v>-1.1438423267463804E-2</c:v>
                </c:pt>
                <c:pt idx="12">
                  <c:v>5.0888688758732314E-3</c:v>
                </c:pt>
              </c:numCache>
            </c:numRef>
          </c:xVal>
          <c:yVal>
            <c:numRef>
              <c:f>Microwave!$B$136:$B$148</c:f>
              <c:numCache>
                <c:formatCode>General</c:formatCode>
                <c:ptCount val="13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6</c:v>
                </c:pt>
                <c:pt idx="5">
                  <c:v>5</c:v>
                </c:pt>
                <c:pt idx="6">
                  <c:v>5</c:v>
                </c:pt>
                <c:pt idx="7">
                  <c:v>4</c:v>
                </c:pt>
                <c:pt idx="8">
                  <c:v>4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45-4B4F-A975-0B55B92CB88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0874-4E68-A459-839ED0D665BE}"/>
              </c:ext>
            </c:extLst>
          </c:dPt>
          <c:dPt>
            <c:idx val="1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3-0874-4E68-A459-839ED0D665BE}"/>
              </c:ext>
            </c:extLst>
          </c:dPt>
          <c:dPt>
            <c:idx val="2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2-0874-4E68-A459-839ED0D665BE}"/>
              </c:ext>
            </c:extLst>
          </c:dPt>
          <c:xVal>
            <c:numRef>
              <c:f>Microwave!$H$159:$H$168</c:f>
              <c:numCache>
                <c:formatCode>0.000</c:formatCode>
                <c:ptCount val="10"/>
                <c:pt idx="0">
                  <c:v>0.6033231697838346</c:v>
                </c:pt>
                <c:pt idx="1">
                  <c:v>-9.7653866148903035E-2</c:v>
                </c:pt>
                <c:pt idx="2">
                  <c:v>9.7985704989696387E-2</c:v>
                </c:pt>
                <c:pt idx="3">
                  <c:v>0.43727017008131952</c:v>
                </c:pt>
                <c:pt idx="4">
                  <c:v>0.10004637214660761</c:v>
                </c:pt>
                <c:pt idx="5">
                  <c:v>-0.26717742578694015</c:v>
                </c:pt>
                <c:pt idx="6">
                  <c:v>-0.29440122372034239</c:v>
                </c:pt>
                <c:pt idx="7">
                  <c:v>-0.41162502165752812</c:v>
                </c:pt>
                <c:pt idx="8">
                  <c:v>-0.2588488195942773</c:v>
                </c:pt>
                <c:pt idx="9">
                  <c:v>0.18392738246984663</c:v>
                </c:pt>
              </c:numCache>
            </c:numRef>
          </c:xVal>
          <c:yVal>
            <c:numRef>
              <c:f>Microwave!$D$159:$D$168</c:f>
              <c:numCache>
                <c:formatCode>General</c:formatCode>
                <c:ptCount val="10"/>
                <c:pt idx="0">
                  <c:v>0</c:v>
                </c:pt>
                <c:pt idx="1">
                  <c:v>2</c:v>
                </c:pt>
                <c:pt idx="2">
                  <c:v>1</c:v>
                </c:pt>
                <c:pt idx="3">
                  <c:v>6</c:v>
                </c:pt>
                <c:pt idx="4">
                  <c:v>5</c:v>
                </c:pt>
                <c:pt idx="5">
                  <c:v>4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874-4E68-A459-839ED0D665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</a:t>
            </a:r>
            <a:r>
              <a:rPr lang="en-CA" baseline="0"/>
              <a:t> in Species 1 (Model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Microwave!$H$159:$H$168</c:f>
              <c:numCache>
                <c:formatCode>0.000</c:formatCode>
                <c:ptCount val="10"/>
                <c:pt idx="0">
                  <c:v>0.6033231697838346</c:v>
                </c:pt>
                <c:pt idx="1">
                  <c:v>-9.7653866148903035E-2</c:v>
                </c:pt>
                <c:pt idx="2">
                  <c:v>9.7985704989696387E-2</c:v>
                </c:pt>
                <c:pt idx="3">
                  <c:v>0.43727017008131952</c:v>
                </c:pt>
                <c:pt idx="4">
                  <c:v>0.10004637214660761</c:v>
                </c:pt>
                <c:pt idx="5">
                  <c:v>-0.26717742578694015</c:v>
                </c:pt>
                <c:pt idx="6">
                  <c:v>-0.29440122372034239</c:v>
                </c:pt>
                <c:pt idx="7">
                  <c:v>-0.41162502165752812</c:v>
                </c:pt>
                <c:pt idx="8">
                  <c:v>-0.2588488195942773</c:v>
                </c:pt>
                <c:pt idx="9">
                  <c:v>0.18392738246984663</c:v>
                </c:pt>
              </c:numCache>
            </c:numRef>
          </c:xVal>
          <c:yVal>
            <c:numRef>
              <c:f>Microwave!$E$159:$E$168</c:f>
              <c:numCache>
                <c:formatCode>General</c:formatCode>
                <c:ptCount val="10"/>
                <c:pt idx="0">
                  <c:v>10</c:v>
                </c:pt>
                <c:pt idx="1">
                  <c:v>11</c:v>
                </c:pt>
                <c:pt idx="2">
                  <c:v>11</c:v>
                </c:pt>
                <c:pt idx="3">
                  <c:v>12</c:v>
                </c:pt>
                <c:pt idx="4">
                  <c:v>12</c:v>
                </c:pt>
                <c:pt idx="5">
                  <c:v>12</c:v>
                </c:pt>
                <c:pt idx="6">
                  <c:v>12</c:v>
                </c:pt>
                <c:pt idx="7">
                  <c:v>12</c:v>
                </c:pt>
                <c:pt idx="8">
                  <c:v>12</c:v>
                </c:pt>
                <c:pt idx="9">
                  <c:v>12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CDE-471E-8EDF-4D584B1DD0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6832336"/>
        <c:axId val="596832008"/>
      </c:scatterChart>
      <c:valAx>
        <c:axId val="5968323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in </a:t>
                </a:r>
                <a:r>
                  <a:rPr lang="el-GR"/>
                  <a:t>ν</a:t>
                </a:r>
                <a:r>
                  <a:rPr lang="en-CA"/>
                  <a:t>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008"/>
        <c:crosses val="autoZero"/>
        <c:crossBetween val="midCat"/>
      </c:valAx>
      <c:valAx>
        <c:axId val="5968320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68323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247650</xdr:colOff>
      <xdr:row>12</xdr:row>
      <xdr:rowOff>166687</xdr:rowOff>
    </xdr:from>
    <xdr:to>
      <xdr:col>16</xdr:col>
      <xdr:colOff>57150</xdr:colOff>
      <xdr:row>30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28575</xdr:colOff>
      <xdr:row>54</xdr:row>
      <xdr:rowOff>95250</xdr:rowOff>
    </xdr:from>
    <xdr:to>
      <xdr:col>15</xdr:col>
      <xdr:colOff>466726</xdr:colOff>
      <xdr:row>73</xdr:row>
      <xdr:rowOff>38100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133349</xdr:colOff>
      <xdr:row>99</xdr:row>
      <xdr:rowOff>14286</xdr:rowOff>
    </xdr:from>
    <xdr:to>
      <xdr:col>10</xdr:col>
      <xdr:colOff>732299</xdr:colOff>
      <xdr:row>114</xdr:row>
      <xdr:rowOff>36786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5</xdr:col>
      <xdr:colOff>152400</xdr:colOff>
      <xdr:row>114</xdr:row>
      <xdr:rowOff>171450</xdr:rowOff>
    </xdr:from>
    <xdr:to>
      <xdr:col>10</xdr:col>
      <xdr:colOff>751350</xdr:colOff>
      <xdr:row>130</xdr:row>
      <xdr:rowOff>3450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390525</xdr:colOff>
      <xdr:row>191</xdr:row>
      <xdr:rowOff>157162</xdr:rowOff>
    </xdr:from>
    <xdr:to>
      <xdr:col>6</xdr:col>
      <xdr:colOff>76200</xdr:colOff>
      <xdr:row>206</xdr:row>
      <xdr:rowOff>42862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285750</xdr:colOff>
      <xdr:row>191</xdr:row>
      <xdr:rowOff>133350</xdr:rowOff>
    </xdr:from>
    <xdr:to>
      <xdr:col>12</xdr:col>
      <xdr:colOff>400050</xdr:colOff>
      <xdr:row>206</xdr:row>
      <xdr:rowOff>19050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13</xdr:col>
      <xdr:colOff>114300</xdr:colOff>
      <xdr:row>191</xdr:row>
      <xdr:rowOff>171450</xdr:rowOff>
    </xdr:from>
    <xdr:to>
      <xdr:col>20</xdr:col>
      <xdr:colOff>228600</xdr:colOff>
      <xdr:row>206</xdr:row>
      <xdr:rowOff>57150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28575</xdr:colOff>
      <xdr:row>207</xdr:row>
      <xdr:rowOff>19050</xdr:rowOff>
    </xdr:from>
    <xdr:to>
      <xdr:col>5</xdr:col>
      <xdr:colOff>457200</xdr:colOff>
      <xdr:row>221</xdr:row>
      <xdr:rowOff>95250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5</xdr:col>
      <xdr:colOff>457200</xdr:colOff>
      <xdr:row>207</xdr:row>
      <xdr:rowOff>9525</xdr:rowOff>
    </xdr:from>
    <xdr:to>
      <xdr:col>11</xdr:col>
      <xdr:colOff>438150</xdr:colOff>
      <xdr:row>221</xdr:row>
      <xdr:rowOff>85725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11</xdr:col>
      <xdr:colOff>485775</xdr:colOff>
      <xdr:row>207</xdr:row>
      <xdr:rowOff>0</xdr:rowOff>
    </xdr:from>
    <xdr:to>
      <xdr:col>19</xdr:col>
      <xdr:colOff>95250</xdr:colOff>
      <xdr:row>221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0</xdr:colOff>
      <xdr:row>222</xdr:row>
      <xdr:rowOff>19050</xdr:rowOff>
    </xdr:from>
    <xdr:to>
      <xdr:col>5</xdr:col>
      <xdr:colOff>428625</xdr:colOff>
      <xdr:row>236</xdr:row>
      <xdr:rowOff>95250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5</xdr:col>
      <xdr:colOff>428625</xdr:colOff>
      <xdr:row>222</xdr:row>
      <xdr:rowOff>9525</xdr:rowOff>
    </xdr:from>
    <xdr:to>
      <xdr:col>11</xdr:col>
      <xdr:colOff>409575</xdr:colOff>
      <xdr:row>236</xdr:row>
      <xdr:rowOff>85725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11</xdr:col>
      <xdr:colOff>466725</xdr:colOff>
      <xdr:row>221</xdr:row>
      <xdr:rowOff>161925</xdr:rowOff>
    </xdr:from>
    <xdr:to>
      <xdr:col>19</xdr:col>
      <xdr:colOff>76200</xdr:colOff>
      <xdr:row>236</xdr:row>
      <xdr:rowOff>47625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19</xdr:col>
      <xdr:colOff>76200</xdr:colOff>
      <xdr:row>221</xdr:row>
      <xdr:rowOff>152400</xdr:rowOff>
    </xdr:from>
    <xdr:to>
      <xdr:col>26</xdr:col>
      <xdr:colOff>276225</xdr:colOff>
      <xdr:row>236</xdr:row>
      <xdr:rowOff>38100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0</xdr:colOff>
      <xdr:row>237</xdr:row>
      <xdr:rowOff>9525</xdr:rowOff>
    </xdr:from>
    <xdr:to>
      <xdr:col>5</xdr:col>
      <xdr:colOff>428625</xdr:colOff>
      <xdr:row>251</xdr:row>
      <xdr:rowOff>85725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5</xdr:col>
      <xdr:colOff>428625</xdr:colOff>
      <xdr:row>237</xdr:row>
      <xdr:rowOff>0</xdr:rowOff>
    </xdr:from>
    <xdr:to>
      <xdr:col>11</xdr:col>
      <xdr:colOff>409575</xdr:colOff>
      <xdr:row>251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17</xdr:col>
      <xdr:colOff>0</xdr:colOff>
      <xdr:row>55</xdr:row>
      <xdr:rowOff>0</xdr:rowOff>
    </xdr:from>
    <xdr:to>
      <xdr:col>26</xdr:col>
      <xdr:colOff>1</xdr:colOff>
      <xdr:row>73</xdr:row>
      <xdr:rowOff>133350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91"/>
  <sheetViews>
    <sheetView tabSelected="1" workbookViewId="0">
      <selection activeCell="A188" sqref="A188:XFD188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6" max="6" width="11.140625" customWidth="1"/>
    <col min="9" max="9" width="18.85546875" bestFit="1" customWidth="1"/>
    <col min="11" max="11" width="11.42578125" customWidth="1"/>
    <col min="15" max="15" width="10.42578125" customWidth="1"/>
    <col min="20" max="20" width="10.7109375" customWidth="1"/>
  </cols>
  <sheetData>
    <row r="1" spans="1:12" x14ac:dyDescent="0.25">
      <c r="A1" t="s">
        <v>8</v>
      </c>
    </row>
    <row r="3" spans="1:12" x14ac:dyDescent="0.25">
      <c r="A3" t="s">
        <v>6</v>
      </c>
    </row>
    <row r="4" spans="1:12" x14ac:dyDescent="0.25">
      <c r="B4" t="s">
        <v>1</v>
      </c>
      <c r="C4" t="s">
        <v>63</v>
      </c>
      <c r="D4" t="s">
        <v>2</v>
      </c>
      <c r="E4" t="s">
        <v>3</v>
      </c>
      <c r="I4">
        <v>1880</v>
      </c>
      <c r="J4">
        <v>1810</v>
      </c>
      <c r="L4" s="6">
        <f>A26-A16</f>
        <v>2043.5400000000009</v>
      </c>
    </row>
    <row r="5" spans="1:12" x14ac:dyDescent="0.25">
      <c r="A5" t="s">
        <v>4</v>
      </c>
      <c r="B5" s="2">
        <v>84.911789737999996</v>
      </c>
      <c r="C5" s="3">
        <v>1.2E-8</v>
      </c>
      <c r="D5" s="4">
        <v>72.17</v>
      </c>
      <c r="E5" s="5">
        <v>2.5</v>
      </c>
      <c r="I5">
        <f>1880*11</f>
        <v>20680</v>
      </c>
      <c r="J5">
        <f>1810*11</f>
        <v>19910</v>
      </c>
      <c r="K5">
        <f>1965*11</f>
        <v>21615</v>
      </c>
      <c r="L5" s="6">
        <f>A16-A14</f>
        <v>1886.3999999999978</v>
      </c>
    </row>
    <row r="6" spans="1:12" x14ac:dyDescent="0.25">
      <c r="A6" t="s">
        <v>5</v>
      </c>
      <c r="B6" s="2">
        <v>86.909180527000004</v>
      </c>
      <c r="C6" s="3">
        <v>1.3000000000000001E-8</v>
      </c>
      <c r="D6" s="4">
        <v>27.83</v>
      </c>
      <c r="E6" s="5">
        <v>1.5</v>
      </c>
      <c r="I6">
        <f>1880*12</f>
        <v>22560</v>
      </c>
      <c r="J6">
        <f>1810*12</f>
        <v>21720</v>
      </c>
      <c r="K6">
        <f>1965*12</f>
        <v>23580</v>
      </c>
    </row>
    <row r="7" spans="1:12" x14ac:dyDescent="0.25">
      <c r="A7" t="s">
        <v>7</v>
      </c>
      <c r="B7" s="2">
        <v>126.904473</v>
      </c>
      <c r="C7" s="3">
        <v>3.9999999999999998E-6</v>
      </c>
      <c r="D7" s="4">
        <v>100</v>
      </c>
      <c r="E7" s="5">
        <v>2.5</v>
      </c>
      <c r="I7">
        <f>1880*13</f>
        <v>24440</v>
      </c>
      <c r="J7">
        <f>1810*13</f>
        <v>23530</v>
      </c>
      <c r="K7">
        <f>1965*13</f>
        <v>25545</v>
      </c>
    </row>
    <row r="8" spans="1:12" x14ac:dyDescent="0.25">
      <c r="B8" s="1">
        <f>B5*B7/(B5+B7)</f>
        <v>50.872797909367193</v>
      </c>
      <c r="I8">
        <f>1880*14</f>
        <v>26320</v>
      </c>
      <c r="J8">
        <f>1810*14</f>
        <v>25340</v>
      </c>
      <c r="K8">
        <f>1965*14</f>
        <v>27510</v>
      </c>
    </row>
    <row r="9" spans="1:12" x14ac:dyDescent="0.25">
      <c r="B9" s="1">
        <f>B6*B7/(B6+B7)</f>
        <v>51.583065775769349</v>
      </c>
    </row>
    <row r="10" spans="1:12" x14ac:dyDescent="0.25">
      <c r="B10" s="1"/>
    </row>
    <row r="11" spans="1:12" s="8" customFormat="1" x14ac:dyDescent="0.25">
      <c r="A11" s="8" t="s">
        <v>62</v>
      </c>
      <c r="B11" s="9"/>
    </row>
    <row r="12" spans="1:12" x14ac:dyDescent="0.25">
      <c r="B12" s="1"/>
    </row>
    <row r="13" spans="1:12" x14ac:dyDescent="0.25">
      <c r="A13" t="s">
        <v>0</v>
      </c>
      <c r="B13" t="s">
        <v>63</v>
      </c>
    </row>
    <row r="14" spans="1:12" x14ac:dyDescent="0.25">
      <c r="A14" s="6">
        <v>21617.58</v>
      </c>
      <c r="B14">
        <v>0.1</v>
      </c>
      <c r="C14">
        <v>1</v>
      </c>
    </row>
    <row r="15" spans="1:12" x14ac:dyDescent="0.25">
      <c r="A15" s="6">
        <v>23425.51</v>
      </c>
      <c r="B15">
        <v>0.1</v>
      </c>
      <c r="C15">
        <v>1</v>
      </c>
    </row>
    <row r="16" spans="1:12" x14ac:dyDescent="0.25">
      <c r="A16" s="6">
        <v>23503.98</v>
      </c>
      <c r="B16">
        <v>0.1</v>
      </c>
      <c r="C16">
        <v>1</v>
      </c>
    </row>
    <row r="17" spans="1:3" x14ac:dyDescent="0.25">
      <c r="A17" s="6">
        <v>25029.38</v>
      </c>
      <c r="B17">
        <v>0.1</v>
      </c>
      <c r="C17">
        <v>1</v>
      </c>
    </row>
    <row r="18" spans="1:3" x14ac:dyDescent="0.25">
      <c r="A18" s="6">
        <v>25038.99</v>
      </c>
      <c r="B18">
        <v>0.1</v>
      </c>
      <c r="C18">
        <v>1</v>
      </c>
    </row>
    <row r="19" spans="1:3" x14ac:dyDescent="0.25">
      <c r="A19" s="6">
        <v>25112.84</v>
      </c>
      <c r="B19">
        <v>0.1</v>
      </c>
      <c r="C19">
        <v>1</v>
      </c>
    </row>
    <row r="20" spans="1:3" x14ac:dyDescent="0.25">
      <c r="A20" s="6">
        <v>25123.45</v>
      </c>
      <c r="B20">
        <v>0.1</v>
      </c>
      <c r="C20">
        <v>1</v>
      </c>
    </row>
    <row r="21" spans="1:3" x14ac:dyDescent="0.25">
      <c r="A21" s="6">
        <v>25196.01</v>
      </c>
      <c r="B21">
        <v>0.1</v>
      </c>
      <c r="C21">
        <v>1</v>
      </c>
    </row>
    <row r="22" spans="1:3" x14ac:dyDescent="0.25">
      <c r="A22" s="6">
        <v>25207.88</v>
      </c>
      <c r="B22">
        <v>0.2</v>
      </c>
      <c r="C22">
        <v>1</v>
      </c>
    </row>
    <row r="23" spans="1:3" x14ac:dyDescent="0.25">
      <c r="A23" s="6">
        <v>25292.65</v>
      </c>
      <c r="B23">
        <v>0.1</v>
      </c>
      <c r="C23">
        <v>1</v>
      </c>
    </row>
    <row r="24" spans="1:3" x14ac:dyDescent="0.25">
      <c r="A24" s="6">
        <v>25377.33</v>
      </c>
      <c r="B24">
        <v>0.1</v>
      </c>
      <c r="C24">
        <v>1</v>
      </c>
    </row>
    <row r="25" spans="1:3" x14ac:dyDescent="0.25">
      <c r="A25" s="6">
        <v>25462.28</v>
      </c>
      <c r="B25">
        <v>0.1</v>
      </c>
      <c r="C25">
        <v>1</v>
      </c>
    </row>
    <row r="26" spans="1:3" x14ac:dyDescent="0.25">
      <c r="A26" s="6">
        <v>25547.52</v>
      </c>
      <c r="B26">
        <v>0.1</v>
      </c>
      <c r="C26">
        <v>1</v>
      </c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s="8" customFormat="1" x14ac:dyDescent="0.25">
      <c r="A32" s="10" t="s">
        <v>64</v>
      </c>
    </row>
    <row r="33" spans="1:15" x14ac:dyDescent="0.25">
      <c r="A33" s="6"/>
    </row>
    <row r="34" spans="1:15" x14ac:dyDescent="0.25">
      <c r="A34" s="6"/>
      <c r="B34" t="s">
        <v>10</v>
      </c>
      <c r="C34" t="s">
        <v>11</v>
      </c>
      <c r="D34" t="s">
        <v>12</v>
      </c>
      <c r="F34" t="s">
        <v>13</v>
      </c>
      <c r="G34" t="s">
        <v>14</v>
      </c>
      <c r="H34" t="s">
        <v>15</v>
      </c>
      <c r="I34" t="s">
        <v>16</v>
      </c>
      <c r="K34" t="s">
        <v>17</v>
      </c>
      <c r="L34" t="s">
        <v>14</v>
      </c>
      <c r="M34" t="s">
        <v>15</v>
      </c>
      <c r="N34" t="s">
        <v>18</v>
      </c>
      <c r="O34" t="s">
        <v>16</v>
      </c>
    </row>
    <row r="35" spans="1:15" x14ac:dyDescent="0.25">
      <c r="A35" s="6">
        <v>21617.58</v>
      </c>
      <c r="B35" s="6">
        <f>B$49</f>
        <v>24687.338461538464</v>
      </c>
      <c r="C35" s="6">
        <f>A35-B35</f>
        <v>-3069.7584615384621</v>
      </c>
      <c r="D35" s="6">
        <f>C35^2</f>
        <v>9423417.0121869855</v>
      </c>
      <c r="F35">
        <f>INDEX(G$49:H$49,MATCH(I35,G35:H35,0))</f>
        <v>22849.023350599058</v>
      </c>
      <c r="G35">
        <f>($A35-G$49)^2</f>
        <v>1516452.7257346306</v>
      </c>
      <c r="H35">
        <f>($A35-H$49)^2</f>
        <v>13113473.116961855</v>
      </c>
      <c r="I35">
        <f>MIN(G35:H35)</f>
        <v>1516452.7257346306</v>
      </c>
      <c r="K35">
        <f>INDEX(L$49:N$49,MATCH(O35,L35:N35,0))</f>
        <v>21617.579999538699</v>
      </c>
      <c r="L35">
        <f>($A35-L$49)^2</f>
        <v>2.1280044738064002E-13</v>
      </c>
      <c r="M35">
        <f>($A35-M$49)^2</f>
        <v>3412018.5385408094</v>
      </c>
      <c r="N35">
        <f>($A35-N$49)^2</f>
        <v>13113473.29751618</v>
      </c>
      <c r="O35">
        <f>MIN(L35:N35)</f>
        <v>2.1280044738064002E-13</v>
      </c>
    </row>
    <row r="36" spans="1:15" x14ac:dyDescent="0.25">
      <c r="A36" s="6">
        <v>23425.51</v>
      </c>
      <c r="B36" s="6">
        <f t="shared" ref="B36:B47" si="0">B$49</f>
        <v>24687.338461538464</v>
      </c>
      <c r="C36" s="6">
        <f t="shared" ref="C36:C47" si="1">A36-B36</f>
        <v>-1261.8284615384655</v>
      </c>
      <c r="D36" s="6">
        <f t="shared" ref="D36:D47" si="2">C36^2</f>
        <v>1592211.0663485306</v>
      </c>
      <c r="F36">
        <f t="shared" ref="F36:F47" si="3">INDEX(G$49:H$49,MATCH(I36,G36:H36,0))</f>
        <v>22849.023350599058</v>
      </c>
      <c r="G36">
        <f t="shared" ref="G36:H47" si="4">($A36-G$49)^2</f>
        <v>332336.85693752259</v>
      </c>
      <c r="H36">
        <f t="shared" si="4"/>
        <v>3288140.2156765833</v>
      </c>
      <c r="I36">
        <f t="shared" ref="I36:I47" si="5">MIN(G36:H36)</f>
        <v>332336.85693752259</v>
      </c>
      <c r="K36">
        <f t="shared" ref="K36:K47" si="6">INDEX(L$49:N$49,MATCH(O36,L36:N36,0))</f>
        <v>23464.745000356172</v>
      </c>
      <c r="L36">
        <f t="shared" ref="L36:N47" si="7">($A36-L$49)^2</f>
        <v>3268610.886567995</v>
      </c>
      <c r="M36">
        <f t="shared" si="7"/>
        <v>1539.3852529489159</v>
      </c>
      <c r="N36">
        <f t="shared" si="7"/>
        <v>3288140.3060881919</v>
      </c>
      <c r="O36">
        <f t="shared" ref="O36:O47" si="8">MIN(L36:N36)</f>
        <v>1539.3852529489159</v>
      </c>
    </row>
    <row r="37" spans="1:15" x14ac:dyDescent="0.25">
      <c r="A37" s="6">
        <v>23503.98</v>
      </c>
      <c r="B37" s="6">
        <f t="shared" si="0"/>
        <v>24687.338461538464</v>
      </c>
      <c r="C37" s="6">
        <f t="shared" si="1"/>
        <v>-1183.3584615384643</v>
      </c>
      <c r="D37" s="6">
        <f t="shared" si="2"/>
        <v>1400337.2484946812</v>
      </c>
      <c r="F37">
        <f t="shared" si="3"/>
        <v>22849.023350599058</v>
      </c>
      <c r="G37">
        <f t="shared" si="4"/>
        <v>428968.21259450767</v>
      </c>
      <c r="H37">
        <f t="shared" si="4"/>
        <v>3009714.8487063884</v>
      </c>
      <c r="I37">
        <f t="shared" si="5"/>
        <v>428968.21259450767</v>
      </c>
      <c r="K37">
        <f t="shared" si="6"/>
        <v>23464.745000356172</v>
      </c>
      <c r="L37">
        <f t="shared" si="7"/>
        <v>3558504.9617403955</v>
      </c>
      <c r="M37">
        <f t="shared" si="7"/>
        <v>1539.3851970511757</v>
      </c>
      <c r="N37">
        <f t="shared" si="7"/>
        <v>3009714.9352055122</v>
      </c>
      <c r="O37">
        <f t="shared" si="8"/>
        <v>1539.3851970511757</v>
      </c>
    </row>
    <row r="38" spans="1:15" x14ac:dyDescent="0.25">
      <c r="A38" s="6">
        <v>25029.38</v>
      </c>
      <c r="B38" s="6">
        <f t="shared" si="0"/>
        <v>24687.338461538464</v>
      </c>
      <c r="C38" s="6">
        <f t="shared" si="1"/>
        <v>342.04153846153713</v>
      </c>
      <c r="D38" s="6">
        <f t="shared" si="2"/>
        <v>116992.41403313518</v>
      </c>
      <c r="F38">
        <f t="shared" si="3"/>
        <v>25238.832976106733</v>
      </c>
      <c r="G38">
        <f t="shared" si="4"/>
        <v>4753955.1185869062</v>
      </c>
      <c r="H38">
        <f t="shared" si="4"/>
        <v>43870.549199967041</v>
      </c>
      <c r="I38">
        <f t="shared" si="5"/>
        <v>43870.549199967041</v>
      </c>
      <c r="K38">
        <f t="shared" si="6"/>
        <v>25238.833001036546</v>
      </c>
      <c r="L38">
        <f t="shared" si="7"/>
        <v>11640379.243147742</v>
      </c>
      <c r="M38">
        <f t="shared" si="7"/>
        <v>2448082.682110446</v>
      </c>
      <c r="N38">
        <f t="shared" si="7"/>
        <v>43870.559643214991</v>
      </c>
      <c r="O38">
        <f t="shared" si="8"/>
        <v>43870.559643214991</v>
      </c>
    </row>
    <row r="39" spans="1:15" x14ac:dyDescent="0.25">
      <c r="A39" s="6">
        <v>25038.99</v>
      </c>
      <c r="B39" s="6">
        <f t="shared" si="0"/>
        <v>24687.338461538464</v>
      </c>
      <c r="C39" s="6">
        <f t="shared" si="1"/>
        <v>351.65153846153771</v>
      </c>
      <c r="D39" s="6">
        <f t="shared" si="2"/>
        <v>123658.80450236634</v>
      </c>
      <c r="F39">
        <f t="shared" si="3"/>
        <v>25238.832976106733</v>
      </c>
      <c r="G39">
        <f t="shared" si="4"/>
        <v>4795953.9254883947</v>
      </c>
      <c r="H39">
        <f t="shared" si="4"/>
        <v>39937.215099195426</v>
      </c>
      <c r="I39">
        <f t="shared" si="5"/>
        <v>39937.215099195426</v>
      </c>
      <c r="K39">
        <f t="shared" si="6"/>
        <v>25238.833001036546</v>
      </c>
      <c r="L39">
        <f t="shared" si="7"/>
        <v>11706046.391256612</v>
      </c>
      <c r="M39">
        <f t="shared" si="7"/>
        <v>2478247.3189036022</v>
      </c>
      <c r="N39">
        <f t="shared" si="7"/>
        <v>39937.225063292361</v>
      </c>
      <c r="O39">
        <f t="shared" si="8"/>
        <v>39937.225063292361</v>
      </c>
    </row>
    <row r="40" spans="1:15" x14ac:dyDescent="0.25">
      <c r="A40" s="6">
        <v>25112.84</v>
      </c>
      <c r="B40" s="6">
        <f t="shared" si="0"/>
        <v>24687.338461538464</v>
      </c>
      <c r="C40" s="6">
        <f t="shared" si="1"/>
        <v>425.50153846153626</v>
      </c>
      <c r="D40" s="6">
        <f t="shared" si="2"/>
        <v>181051.5592331342</v>
      </c>
      <c r="F40">
        <f t="shared" si="3"/>
        <v>25238.832976106733</v>
      </c>
      <c r="G40">
        <f t="shared" si="4"/>
        <v>5124865.8221049076</v>
      </c>
      <c r="H40">
        <f t="shared" si="4"/>
        <v>15874.230028231637</v>
      </c>
      <c r="I40">
        <f t="shared" si="5"/>
        <v>15874.230028231637</v>
      </c>
      <c r="K40">
        <f t="shared" si="6"/>
        <v>25238.833001036546</v>
      </c>
      <c r="L40">
        <f t="shared" si="7"/>
        <v>12216842.470824737</v>
      </c>
      <c r="M40">
        <f t="shared" si="7"/>
        <v>2716217.1278509912</v>
      </c>
      <c r="N40">
        <f t="shared" si="7"/>
        <v>15874.236310195094</v>
      </c>
      <c r="O40">
        <f t="shared" si="8"/>
        <v>15874.236310195094</v>
      </c>
    </row>
    <row r="41" spans="1:15" x14ac:dyDescent="0.25">
      <c r="A41" s="6">
        <v>25123.45</v>
      </c>
      <c r="B41" s="6">
        <f t="shared" si="0"/>
        <v>24687.338461538464</v>
      </c>
      <c r="C41" s="6">
        <f t="shared" si="1"/>
        <v>436.11153846153684</v>
      </c>
      <c r="D41" s="6">
        <f t="shared" si="2"/>
        <v>190193.27397928853</v>
      </c>
      <c r="F41">
        <f t="shared" si="3"/>
        <v>25238.832976106733</v>
      </c>
      <c r="G41">
        <f t="shared" si="4"/>
        <v>5173016.5835051984</v>
      </c>
      <c r="H41">
        <f t="shared" si="4"/>
        <v>13313.231175246643</v>
      </c>
      <c r="I41">
        <f t="shared" si="5"/>
        <v>13313.231175246643</v>
      </c>
      <c r="K41">
        <f t="shared" si="6"/>
        <v>25238.833001036546</v>
      </c>
      <c r="L41">
        <f t="shared" si="7"/>
        <v>12291124.460134529</v>
      </c>
      <c r="M41">
        <f t="shared" si="7"/>
        <v>2751302.275843435</v>
      </c>
      <c r="N41">
        <f t="shared" si="7"/>
        <v>13313.236928199452</v>
      </c>
      <c r="O41">
        <f t="shared" si="8"/>
        <v>13313.236928199452</v>
      </c>
    </row>
    <row r="42" spans="1:15" x14ac:dyDescent="0.25">
      <c r="A42" s="6">
        <v>25196.01</v>
      </c>
      <c r="B42" s="6">
        <f t="shared" si="0"/>
        <v>24687.338461538464</v>
      </c>
      <c r="C42" s="6">
        <f t="shared" si="1"/>
        <v>508.67153846153451</v>
      </c>
      <c r="D42" s="6">
        <f t="shared" si="2"/>
        <v>258746.73404082438</v>
      </c>
      <c r="F42">
        <f t="shared" si="3"/>
        <v>25238.832976106733</v>
      </c>
      <c r="G42">
        <f t="shared" si="4"/>
        <v>5508346.3324662521</v>
      </c>
      <c r="H42">
        <f t="shared" si="4"/>
        <v>1833.8072826379223</v>
      </c>
      <c r="I42">
        <f t="shared" si="5"/>
        <v>1833.8072826379223</v>
      </c>
      <c r="K42">
        <f t="shared" si="6"/>
        <v>25238.833001036546</v>
      </c>
      <c r="L42">
        <f t="shared" si="7"/>
        <v>12805161.268201457</v>
      </c>
      <c r="M42">
        <f t="shared" si="7"/>
        <v>2997278.4989917395</v>
      </c>
      <c r="N42">
        <f t="shared" si="7"/>
        <v>1833.8094177761734</v>
      </c>
      <c r="O42">
        <f t="shared" si="8"/>
        <v>1833.8094177761734</v>
      </c>
    </row>
    <row r="43" spans="1:15" x14ac:dyDescent="0.25">
      <c r="A43" s="6">
        <v>25207.88</v>
      </c>
      <c r="B43" s="6">
        <f t="shared" si="0"/>
        <v>24687.338461538464</v>
      </c>
      <c r="C43" s="6">
        <f t="shared" si="1"/>
        <v>520.54153846153713</v>
      </c>
      <c r="D43" s="6">
        <f t="shared" si="2"/>
        <v>270963.49326390395</v>
      </c>
      <c r="F43">
        <f t="shared" si="3"/>
        <v>25238.832976106733</v>
      </c>
      <c r="G43">
        <f t="shared" si="4"/>
        <v>5564204.6924230428</v>
      </c>
      <c r="H43">
        <f t="shared" si="4"/>
        <v>958.08672986389183</v>
      </c>
      <c r="I43">
        <f t="shared" si="5"/>
        <v>958.08672986389183</v>
      </c>
      <c r="K43">
        <f t="shared" si="6"/>
        <v>25238.833001036546</v>
      </c>
      <c r="L43">
        <f t="shared" si="7"/>
        <v>12890254.093312427</v>
      </c>
      <c r="M43">
        <f t="shared" si="7"/>
        <v>3038519.6269832929</v>
      </c>
      <c r="N43">
        <f t="shared" si="7"/>
        <v>958.08827316836664</v>
      </c>
      <c r="O43">
        <f t="shared" si="8"/>
        <v>958.08827316836664</v>
      </c>
    </row>
    <row r="44" spans="1:15" x14ac:dyDescent="0.25">
      <c r="A44" s="6">
        <v>25292.65</v>
      </c>
      <c r="B44" s="6">
        <f t="shared" si="0"/>
        <v>24687.338461538464</v>
      </c>
      <c r="C44" s="6">
        <f t="shared" si="1"/>
        <v>605.31153846153757</v>
      </c>
      <c r="D44" s="6">
        <f t="shared" si="2"/>
        <v>366402.05859467346</v>
      </c>
      <c r="F44">
        <f t="shared" si="3"/>
        <v>25238.832976106733</v>
      </c>
      <c r="G44">
        <f t="shared" si="4"/>
        <v>5971311.2016624808</v>
      </c>
      <c r="H44">
        <f t="shared" si="4"/>
        <v>2896.2720607286783</v>
      </c>
      <c r="I44">
        <f t="shared" si="5"/>
        <v>2896.2720607286783</v>
      </c>
      <c r="K44">
        <f t="shared" si="6"/>
        <v>25238.833001036546</v>
      </c>
      <c r="L44">
        <f t="shared" si="7"/>
        <v>13506139.508290639</v>
      </c>
      <c r="M44">
        <f t="shared" si="7"/>
        <v>3341236.6877229093</v>
      </c>
      <c r="N44">
        <f t="shared" si="7"/>
        <v>2896.2693774325448</v>
      </c>
      <c r="O44">
        <f t="shared" si="8"/>
        <v>2896.2693774325448</v>
      </c>
    </row>
    <row r="45" spans="1:15" x14ac:dyDescent="0.25">
      <c r="A45" s="6">
        <v>25377.33</v>
      </c>
      <c r="B45" s="6">
        <f t="shared" si="0"/>
        <v>24687.338461538464</v>
      </c>
      <c r="C45" s="6">
        <f t="shared" si="1"/>
        <v>689.99153846153786</v>
      </c>
      <c r="D45" s="6">
        <f t="shared" si="2"/>
        <v>476088.32314851985</v>
      </c>
      <c r="F45">
        <f t="shared" si="3"/>
        <v>25238.832976106733</v>
      </c>
      <c r="G45">
        <f t="shared" si="4"/>
        <v>6392334.5134050259</v>
      </c>
      <c r="H45">
        <f t="shared" si="4"/>
        <v>19181.425627292785</v>
      </c>
      <c r="I45">
        <f t="shared" si="5"/>
        <v>19181.425627292785</v>
      </c>
      <c r="K45">
        <f t="shared" si="6"/>
        <v>25238.833001036546</v>
      </c>
      <c r="L45">
        <f t="shared" si="7"/>
        <v>14135720.065968769</v>
      </c>
      <c r="M45">
        <f t="shared" si="7"/>
        <v>3657981.3808625895</v>
      </c>
      <c r="N45">
        <f t="shared" si="7"/>
        <v>19181.418721883409</v>
      </c>
      <c r="O45">
        <f t="shared" si="8"/>
        <v>19181.418721883409</v>
      </c>
    </row>
    <row r="46" spans="1:15" x14ac:dyDescent="0.25">
      <c r="A46" s="6">
        <v>25462.28</v>
      </c>
      <c r="B46" s="6">
        <f t="shared" si="0"/>
        <v>24687.338461538464</v>
      </c>
      <c r="C46" s="6">
        <f t="shared" si="1"/>
        <v>774.94153846153495</v>
      </c>
      <c r="D46" s="6">
        <f t="shared" si="2"/>
        <v>600534.38803313067</v>
      </c>
      <c r="F46">
        <f t="shared" si="3"/>
        <v>25238.832976106733</v>
      </c>
      <c r="G46">
        <f t="shared" si="4"/>
        <v>6829110.3156382311</v>
      </c>
      <c r="H46">
        <f t="shared" si="4"/>
        <v>49928.572486757927</v>
      </c>
      <c r="I46">
        <f t="shared" si="5"/>
        <v>49928.572486757927</v>
      </c>
      <c r="K46">
        <f t="shared" si="6"/>
        <v>25238.833001036546</v>
      </c>
      <c r="L46">
        <f t="shared" si="7"/>
        <v>14781718.093547121</v>
      </c>
      <c r="M46">
        <f t="shared" si="7"/>
        <v>3990146.0748020648</v>
      </c>
      <c r="N46">
        <f t="shared" si="7"/>
        <v>49928.561345773203</v>
      </c>
      <c r="O46">
        <f t="shared" si="8"/>
        <v>49928.561345773203</v>
      </c>
    </row>
    <row r="47" spans="1:15" x14ac:dyDescent="0.25">
      <c r="A47" s="6">
        <v>25547.52</v>
      </c>
      <c r="B47" s="6">
        <f t="shared" si="0"/>
        <v>24687.338461538464</v>
      </c>
      <c r="C47" s="6">
        <f t="shared" si="1"/>
        <v>860.18153846153655</v>
      </c>
      <c r="D47" s="6">
        <f t="shared" si="2"/>
        <v>739912.27911005588</v>
      </c>
      <c r="F47">
        <f t="shared" si="3"/>
        <v>25238.832976106733</v>
      </c>
      <c r="G47">
        <f t="shared" si="4"/>
        <v>7281884.1668281117</v>
      </c>
      <c r="H47">
        <f t="shared" si="4"/>
        <v>95287.678720082957</v>
      </c>
      <c r="I47">
        <f t="shared" si="5"/>
        <v>95287.678720082957</v>
      </c>
      <c r="K47">
        <f t="shared" si="6"/>
        <v>25238.833001036546</v>
      </c>
      <c r="L47">
        <f t="shared" si="7"/>
        <v>15444428.407225776</v>
      </c>
      <c r="M47">
        <f t="shared" si="7"/>
        <v>4337951.6991413506</v>
      </c>
      <c r="N47">
        <f t="shared" si="7"/>
        <v>95287.663329063595</v>
      </c>
      <c r="O47">
        <f t="shared" si="8"/>
        <v>95287.663329063595</v>
      </c>
    </row>
    <row r="48" spans="1:15" ht="18" x14ac:dyDescent="0.35">
      <c r="B48" s="7" t="s">
        <v>9</v>
      </c>
      <c r="D48" s="6">
        <f>SUM(D35:D47)</f>
        <v>15740508.654969232</v>
      </c>
      <c r="I48">
        <f>SUM(I35:I47)</f>
        <v>2560838.8636766658</v>
      </c>
      <c r="O48">
        <f>SUM(O35:O47)</f>
        <v>286159.83885999926</v>
      </c>
    </row>
    <row r="49" spans="1:14" x14ac:dyDescent="0.25">
      <c r="B49" s="6">
        <f>AVERAGE(A35:A47)</f>
        <v>24687.338461538464</v>
      </c>
      <c r="G49">
        <v>22849.023350599058</v>
      </c>
      <c r="H49">
        <v>25238.832976106733</v>
      </c>
      <c r="L49">
        <v>21617.579999538699</v>
      </c>
      <c r="M49">
        <v>23464.745000356172</v>
      </c>
      <c r="N49">
        <v>25238.833001036546</v>
      </c>
    </row>
    <row r="50" spans="1:14" x14ac:dyDescent="0.25">
      <c r="L50">
        <f>M49-L49</f>
        <v>1847.1650008174729</v>
      </c>
      <c r="M50">
        <f>N49-M49</f>
        <v>1774.0880006803745</v>
      </c>
    </row>
    <row r="51" spans="1:14" x14ac:dyDescent="0.25">
      <c r="K51" t="s">
        <v>60</v>
      </c>
      <c r="L51" s="6">
        <f>A37-A35</f>
        <v>1886.3999999999978</v>
      </c>
      <c r="M51" s="6">
        <f>A47-A37</f>
        <v>2043.5400000000009</v>
      </c>
    </row>
    <row r="52" spans="1:14" x14ac:dyDescent="0.25">
      <c r="L52" s="6"/>
      <c r="M52" s="6"/>
    </row>
    <row r="53" spans="1:14" s="8" customFormat="1" x14ac:dyDescent="0.25">
      <c r="A53" s="8" t="s">
        <v>65</v>
      </c>
      <c r="L53" s="10"/>
      <c r="M53" s="10"/>
    </row>
    <row r="55" spans="1:14" x14ac:dyDescent="0.25">
      <c r="A55" s="6">
        <v>21617.58</v>
      </c>
      <c r="B55">
        <v>0</v>
      </c>
    </row>
    <row r="56" spans="1:14" x14ac:dyDescent="0.25">
      <c r="A56" s="6">
        <v>23425.51</v>
      </c>
      <c r="B56">
        <v>0</v>
      </c>
    </row>
    <row r="57" spans="1:14" x14ac:dyDescent="0.25">
      <c r="A57" s="6">
        <v>23503.98</v>
      </c>
      <c r="B57">
        <v>0</v>
      </c>
    </row>
    <row r="58" spans="1:14" x14ac:dyDescent="0.25">
      <c r="A58" s="6">
        <v>25029.38</v>
      </c>
      <c r="B58">
        <v>0</v>
      </c>
    </row>
    <row r="59" spans="1:14" x14ac:dyDescent="0.25">
      <c r="A59" s="6">
        <v>25038.99</v>
      </c>
      <c r="B59">
        <v>0</v>
      </c>
    </row>
    <row r="60" spans="1:14" x14ac:dyDescent="0.25">
      <c r="A60" s="6">
        <v>25112.84</v>
      </c>
      <c r="B60">
        <v>0</v>
      </c>
    </row>
    <row r="61" spans="1:14" x14ac:dyDescent="0.25">
      <c r="A61" s="6">
        <v>25123.45</v>
      </c>
      <c r="B61">
        <v>0</v>
      </c>
    </row>
    <row r="62" spans="1:14" x14ac:dyDescent="0.25">
      <c r="A62" s="6">
        <v>25196.01</v>
      </c>
      <c r="B62">
        <v>0</v>
      </c>
    </row>
    <row r="63" spans="1:14" x14ac:dyDescent="0.25">
      <c r="A63" s="6">
        <v>25207.88</v>
      </c>
      <c r="B63">
        <v>0</v>
      </c>
    </row>
    <row r="64" spans="1:14" x14ac:dyDescent="0.25">
      <c r="A64" s="6">
        <v>25292.65</v>
      </c>
      <c r="B64">
        <v>0</v>
      </c>
    </row>
    <row r="65" spans="1:16" x14ac:dyDescent="0.25">
      <c r="A65" s="6">
        <v>25377.33</v>
      </c>
      <c r="B65">
        <v>0</v>
      </c>
    </row>
    <row r="66" spans="1:16" x14ac:dyDescent="0.25">
      <c r="A66" s="6">
        <v>25462.28</v>
      </c>
      <c r="B66">
        <v>0</v>
      </c>
    </row>
    <row r="67" spans="1:16" x14ac:dyDescent="0.25">
      <c r="A67" s="6">
        <v>25547.52</v>
      </c>
      <c r="B67">
        <v>0</v>
      </c>
    </row>
    <row r="68" spans="1:16" x14ac:dyDescent="0.25">
      <c r="A68" s="6">
        <f>B49</f>
        <v>24687.338461538464</v>
      </c>
      <c r="B68">
        <v>1</v>
      </c>
    </row>
    <row r="69" spans="1:16" x14ac:dyDescent="0.25">
      <c r="A69">
        <f>G49</f>
        <v>22849.023350599058</v>
      </c>
      <c r="B69">
        <v>2</v>
      </c>
    </row>
    <row r="70" spans="1:16" x14ac:dyDescent="0.25">
      <c r="A70">
        <f>H49</f>
        <v>25238.832976106733</v>
      </c>
      <c r="B70">
        <v>2</v>
      </c>
      <c r="D70" t="s">
        <v>19</v>
      </c>
      <c r="E70" t="s">
        <v>20</v>
      </c>
      <c r="F70" t="s">
        <v>20</v>
      </c>
      <c r="G70" t="s">
        <v>61</v>
      </c>
    </row>
    <row r="71" spans="1:16" x14ac:dyDescent="0.25">
      <c r="A71">
        <f>L49</f>
        <v>21617.579999538699</v>
      </c>
      <c r="B71">
        <v>3</v>
      </c>
      <c r="C71">
        <f>A71/1880</f>
        <v>11.498712765712074</v>
      </c>
      <c r="D71">
        <f>A71/AVERAGE($L50:M$50)</f>
        <v>11.939281784839164</v>
      </c>
      <c r="E71">
        <v>11</v>
      </c>
      <c r="F71">
        <v>10</v>
      </c>
      <c r="G71">
        <f>A55/AVERAGE($L51:M$51)</f>
        <v>11.00148093864029</v>
      </c>
    </row>
    <row r="72" spans="1:16" x14ac:dyDescent="0.25">
      <c r="A72">
        <f>M49</f>
        <v>23464.745000356172</v>
      </c>
      <c r="B72">
        <v>3</v>
      </c>
      <c r="C72">
        <f t="shared" ref="C72:C73" si="9">A72/1880</f>
        <v>12.481247340614985</v>
      </c>
      <c r="D72">
        <f>A72/AVERAGE($L$50:M51)</f>
        <v>12.429688922373845</v>
      </c>
      <c r="E72">
        <v>12</v>
      </c>
      <c r="F72">
        <v>11</v>
      </c>
      <c r="G72">
        <f>A57/AVERAGE($L$51:M54)</f>
        <v>11.961495595352604</v>
      </c>
    </row>
    <row r="73" spans="1:16" x14ac:dyDescent="0.25">
      <c r="A73">
        <f>N49</f>
        <v>25238.833001036546</v>
      </c>
      <c r="B73">
        <v>3</v>
      </c>
      <c r="C73">
        <f t="shared" si="9"/>
        <v>13.424911170764121</v>
      </c>
      <c r="D73">
        <f>A73/AVERAGE($L$50:M54)</f>
        <v>13.369454599309115</v>
      </c>
      <c r="E73">
        <v>13</v>
      </c>
      <c r="F73">
        <v>12</v>
      </c>
      <c r="G73">
        <f>A67/AVERAGE($L$51:M55)</f>
        <v>13.00148093864029</v>
      </c>
    </row>
    <row r="75" spans="1:16" s="8" customFormat="1" x14ac:dyDescent="0.25">
      <c r="A75" s="8" t="s">
        <v>66</v>
      </c>
    </row>
    <row r="77" spans="1:16" x14ac:dyDescent="0.25">
      <c r="B77" t="s">
        <v>22</v>
      </c>
      <c r="K77" t="s">
        <v>34</v>
      </c>
    </row>
    <row r="78" spans="1:16" x14ac:dyDescent="0.25">
      <c r="B78" t="s">
        <v>20</v>
      </c>
      <c r="C78" t="s">
        <v>19</v>
      </c>
      <c r="D78" t="s">
        <v>21</v>
      </c>
      <c r="F78" t="s">
        <v>31</v>
      </c>
      <c r="G78" t="s">
        <v>32</v>
      </c>
      <c r="K78" t="s">
        <v>35</v>
      </c>
      <c r="L78" t="s">
        <v>19</v>
      </c>
      <c r="M78" t="s">
        <v>21</v>
      </c>
      <c r="O78" t="s">
        <v>31</v>
      </c>
      <c r="P78" t="s">
        <v>32</v>
      </c>
    </row>
    <row r="79" spans="1:16" x14ac:dyDescent="0.25">
      <c r="A79" s="6">
        <v>21617.58</v>
      </c>
      <c r="B79">
        <v>11</v>
      </c>
      <c r="C79">
        <f>B79+1</f>
        <v>12</v>
      </c>
      <c r="D79">
        <f>A79/C79</f>
        <v>1801.4650000000001</v>
      </c>
      <c r="F79">
        <f>2*F$92*C79</f>
        <v>21636.024324414921</v>
      </c>
      <c r="G79">
        <f>(A79-F79)^2</f>
        <v>340.19310312277014</v>
      </c>
      <c r="I79" s="7" t="s">
        <v>33</v>
      </c>
      <c r="K79">
        <v>10</v>
      </c>
      <c r="L79">
        <f>K79+1</f>
        <v>11</v>
      </c>
      <c r="M79">
        <f>A79/L79</f>
        <v>1965.2345454545457</v>
      </c>
      <c r="O79">
        <f>2*O$92*L79</f>
        <v>21392.068148063216</v>
      </c>
      <c r="P79">
        <f>(A79-O79)^2</f>
        <v>50855.595363958942</v>
      </c>
    </row>
    <row r="80" spans="1:16" x14ac:dyDescent="0.25">
      <c r="A80" s="6">
        <v>23425.51</v>
      </c>
      <c r="B80">
        <v>12</v>
      </c>
      <c r="C80">
        <f t="shared" ref="C80:C91" si="10">B80+1</f>
        <v>13</v>
      </c>
      <c r="D80">
        <f t="shared" ref="D80:D91" si="11">A80/C80</f>
        <v>1801.9623076923076</v>
      </c>
      <c r="F80">
        <f t="shared" ref="F80:F91" si="12">2*F$92*C80</f>
        <v>23439.026351449498</v>
      </c>
      <c r="G80">
        <f t="shared" ref="G80:G91" si="13">(A80-F80)^2</f>
        <v>182.6917565063948</v>
      </c>
      <c r="K80">
        <v>11</v>
      </c>
      <c r="L80">
        <f t="shared" ref="L80:L91" si="14">K80+1</f>
        <v>12</v>
      </c>
      <c r="M80">
        <f t="shared" ref="M80:M91" si="15">A80/L80</f>
        <v>1952.1258333333333</v>
      </c>
      <c r="O80">
        <f t="shared" ref="O80:O91" si="16">2*O$92*L80</f>
        <v>23336.801616068962</v>
      </c>
      <c r="P80">
        <f t="shared" ref="P80:P91" si="17">(A80-O80)^2</f>
        <v>7869.1773796561256</v>
      </c>
    </row>
    <row r="81" spans="1:16" x14ac:dyDescent="0.25">
      <c r="A81" s="6">
        <v>23503.98</v>
      </c>
      <c r="B81">
        <v>12</v>
      </c>
      <c r="C81">
        <f t="shared" si="10"/>
        <v>13</v>
      </c>
      <c r="D81">
        <f t="shared" si="11"/>
        <v>1807.9984615384615</v>
      </c>
      <c r="F81">
        <f t="shared" si="12"/>
        <v>23439.026351449498</v>
      </c>
      <c r="G81">
        <f t="shared" si="13"/>
        <v>4218.9764600220506</v>
      </c>
      <c r="K81">
        <v>11</v>
      </c>
      <c r="L81">
        <f t="shared" si="14"/>
        <v>12</v>
      </c>
      <c r="M81">
        <f t="shared" si="15"/>
        <v>1958.665</v>
      </c>
      <c r="O81">
        <f t="shared" si="16"/>
        <v>23336.801616068962</v>
      </c>
      <c r="P81">
        <f t="shared" si="17"/>
        <v>27948.612053793338</v>
      </c>
    </row>
    <row r="82" spans="1:16" x14ac:dyDescent="0.25">
      <c r="A82" s="6">
        <v>25029.38</v>
      </c>
      <c r="B82">
        <v>13</v>
      </c>
      <c r="C82">
        <f t="shared" si="10"/>
        <v>14</v>
      </c>
      <c r="D82">
        <f t="shared" si="11"/>
        <v>1787.8128571428572</v>
      </c>
      <c r="F82">
        <f t="shared" si="12"/>
        <v>25242.028378484072</v>
      </c>
      <c r="G82">
        <f t="shared" si="13"/>
        <v>45219.332871904771</v>
      </c>
      <c r="K82">
        <v>12</v>
      </c>
      <c r="L82">
        <f t="shared" si="14"/>
        <v>13</v>
      </c>
      <c r="M82">
        <f t="shared" si="15"/>
        <v>1925.3369230769231</v>
      </c>
      <c r="O82">
        <f t="shared" si="16"/>
        <v>25281.535084074709</v>
      </c>
      <c r="P82">
        <f t="shared" si="17"/>
        <v>63582.18642472291</v>
      </c>
    </row>
    <row r="83" spans="1:16" x14ac:dyDescent="0.25">
      <c r="A83" s="6">
        <v>25038.99</v>
      </c>
      <c r="B83">
        <v>13</v>
      </c>
      <c r="C83">
        <f t="shared" si="10"/>
        <v>14</v>
      </c>
      <c r="D83">
        <f t="shared" si="11"/>
        <v>1788.4992857142859</v>
      </c>
      <c r="F83">
        <f t="shared" si="12"/>
        <v>25242.028378484072</v>
      </c>
      <c r="G83">
        <f t="shared" si="13"/>
        <v>41224.583137440692</v>
      </c>
      <c r="K83">
        <v>12</v>
      </c>
      <c r="L83">
        <f t="shared" si="14"/>
        <v>13</v>
      </c>
      <c r="M83">
        <f t="shared" si="15"/>
        <v>1926.0761538461541</v>
      </c>
      <c r="O83">
        <f t="shared" si="16"/>
        <v>25281.535084074709</v>
      </c>
      <c r="P83">
        <f t="shared" si="17"/>
        <v>58828.117808806746</v>
      </c>
    </row>
    <row r="84" spans="1:16" x14ac:dyDescent="0.25">
      <c r="A84" s="6">
        <v>25112.84</v>
      </c>
      <c r="B84">
        <v>13</v>
      </c>
      <c r="C84">
        <f t="shared" si="10"/>
        <v>14</v>
      </c>
      <c r="D84">
        <f t="shared" si="11"/>
        <v>1793.7742857142857</v>
      </c>
      <c r="F84">
        <f t="shared" si="12"/>
        <v>25242.028378484072</v>
      </c>
      <c r="G84">
        <f t="shared" si="13"/>
        <v>16689.637135343841</v>
      </c>
      <c r="K84">
        <v>12</v>
      </c>
      <c r="L84">
        <f t="shared" si="14"/>
        <v>13</v>
      </c>
      <c r="M84">
        <f t="shared" si="15"/>
        <v>1931.7569230769232</v>
      </c>
      <c r="O84">
        <f t="shared" si="16"/>
        <v>25281.535084074709</v>
      </c>
      <c r="P84">
        <f t="shared" si="17"/>
        <v>28458.031390972996</v>
      </c>
    </row>
    <row r="85" spans="1:16" x14ac:dyDescent="0.25">
      <c r="A85" s="6">
        <v>25123.45</v>
      </c>
      <c r="B85">
        <v>13</v>
      </c>
      <c r="C85">
        <f t="shared" si="10"/>
        <v>14</v>
      </c>
      <c r="D85">
        <f t="shared" si="11"/>
        <v>1794.5321428571428</v>
      </c>
      <c r="F85">
        <f t="shared" si="12"/>
        <v>25242.028378484072</v>
      </c>
      <c r="G85">
        <f t="shared" si="13"/>
        <v>14060.831843911696</v>
      </c>
      <c r="K85">
        <v>12</v>
      </c>
      <c r="L85">
        <f t="shared" si="14"/>
        <v>13</v>
      </c>
      <c r="M85">
        <f t="shared" si="15"/>
        <v>1932.573076923077</v>
      </c>
      <c r="O85">
        <f t="shared" si="16"/>
        <v>25281.535084074709</v>
      </c>
      <c r="P85">
        <f t="shared" si="17"/>
        <v>24990.893806907494</v>
      </c>
    </row>
    <row r="86" spans="1:16" x14ac:dyDescent="0.25">
      <c r="A86" s="6">
        <v>25196.01</v>
      </c>
      <c r="B86">
        <v>13</v>
      </c>
      <c r="C86">
        <f t="shared" si="10"/>
        <v>14</v>
      </c>
      <c r="D86">
        <f t="shared" si="11"/>
        <v>1799.7149999999999</v>
      </c>
      <c r="F86">
        <f t="shared" si="12"/>
        <v>25242.028378484072</v>
      </c>
      <c r="G86">
        <f t="shared" si="13"/>
        <v>2117.691158303463</v>
      </c>
      <c r="K86">
        <v>12</v>
      </c>
      <c r="L86">
        <f t="shared" si="14"/>
        <v>13</v>
      </c>
      <c r="M86">
        <f t="shared" si="15"/>
        <v>1938.1546153846152</v>
      </c>
      <c r="O86">
        <f t="shared" si="16"/>
        <v>25281.535084074709</v>
      </c>
      <c r="P86">
        <f t="shared" si="17"/>
        <v>7314.5400059862686</v>
      </c>
    </row>
    <row r="87" spans="1:16" x14ac:dyDescent="0.25">
      <c r="A87" s="6">
        <v>25207.88</v>
      </c>
      <c r="B87">
        <v>13</v>
      </c>
      <c r="C87">
        <f t="shared" si="10"/>
        <v>14</v>
      </c>
      <c r="D87">
        <f t="shared" si="11"/>
        <v>1800.5628571428572</v>
      </c>
      <c r="F87">
        <f t="shared" si="12"/>
        <v>25242.028378484072</v>
      </c>
      <c r="G87">
        <f t="shared" si="13"/>
        <v>1166.1117530913732</v>
      </c>
      <c r="K87">
        <v>12</v>
      </c>
      <c r="L87">
        <f t="shared" si="14"/>
        <v>13</v>
      </c>
      <c r="M87">
        <f t="shared" si="15"/>
        <v>1939.0676923076924</v>
      </c>
      <c r="O87">
        <f t="shared" si="16"/>
        <v>25281.535084074709</v>
      </c>
      <c r="P87">
        <f t="shared" si="17"/>
        <v>5425.07141005226</v>
      </c>
    </row>
    <row r="88" spans="1:16" x14ac:dyDescent="0.25">
      <c r="A88" s="6">
        <v>25292.65</v>
      </c>
      <c r="B88">
        <v>13</v>
      </c>
      <c r="C88">
        <f t="shared" si="10"/>
        <v>14</v>
      </c>
      <c r="D88">
        <f t="shared" si="11"/>
        <v>1806.6178571428572</v>
      </c>
      <c r="F88">
        <f t="shared" si="12"/>
        <v>25242.028378484072</v>
      </c>
      <c r="G88">
        <f t="shared" si="13"/>
        <v>2562.5485649019952</v>
      </c>
      <c r="K88">
        <v>12</v>
      </c>
      <c r="L88">
        <f t="shared" si="14"/>
        <v>13</v>
      </c>
      <c r="M88">
        <f t="shared" si="15"/>
        <v>1945.5884615384616</v>
      </c>
      <c r="O88">
        <f t="shared" si="16"/>
        <v>25281.535084074709</v>
      </c>
      <c r="P88">
        <f t="shared" si="17"/>
        <v>123.54135602632606</v>
      </c>
    </row>
    <row r="89" spans="1:16" x14ac:dyDescent="0.25">
      <c r="A89" s="6">
        <v>25377.33</v>
      </c>
      <c r="B89">
        <v>13</v>
      </c>
      <c r="C89">
        <f t="shared" si="10"/>
        <v>14</v>
      </c>
      <c r="D89">
        <f t="shared" si="11"/>
        <v>1812.6664285714287</v>
      </c>
      <c r="F89">
        <f t="shared" si="12"/>
        <v>25242.028378484072</v>
      </c>
      <c r="G89">
        <f t="shared" si="13"/>
        <v>18306.528784839858</v>
      </c>
      <c r="K89">
        <v>12</v>
      </c>
      <c r="L89">
        <f t="shared" si="14"/>
        <v>13</v>
      </c>
      <c r="M89">
        <f t="shared" si="15"/>
        <v>1952.1023076923079</v>
      </c>
      <c r="O89">
        <f t="shared" si="16"/>
        <v>25281.535084074709</v>
      </c>
      <c r="P89">
        <f t="shared" si="17"/>
        <v>9176.6659171339597</v>
      </c>
    </row>
    <row r="90" spans="1:16" x14ac:dyDescent="0.25">
      <c r="A90" s="6">
        <v>25462.28</v>
      </c>
      <c r="B90">
        <v>13</v>
      </c>
      <c r="C90">
        <f t="shared" si="10"/>
        <v>14</v>
      </c>
      <c r="D90">
        <f t="shared" si="11"/>
        <v>1818.7342857142855</v>
      </c>
      <c r="F90">
        <f t="shared" si="12"/>
        <v>25242.028378484072</v>
      </c>
      <c r="G90">
        <f t="shared" si="13"/>
        <v>48510.776780395012</v>
      </c>
      <c r="K90">
        <v>12</v>
      </c>
      <c r="L90">
        <f t="shared" si="14"/>
        <v>13</v>
      </c>
      <c r="M90">
        <f t="shared" si="15"/>
        <v>1958.636923076923</v>
      </c>
      <c r="O90">
        <f t="shared" si="16"/>
        <v>25281.535084074709</v>
      </c>
      <c r="P90">
        <f t="shared" si="17"/>
        <v>32668.724632840192</v>
      </c>
    </row>
    <row r="91" spans="1:16" x14ac:dyDescent="0.25">
      <c r="A91" s="6">
        <v>25547.52</v>
      </c>
      <c r="B91">
        <v>13</v>
      </c>
      <c r="C91">
        <f t="shared" si="10"/>
        <v>14</v>
      </c>
      <c r="D91">
        <f t="shared" si="11"/>
        <v>1824.8228571428572</v>
      </c>
      <c r="F91">
        <f t="shared" si="12"/>
        <v>25242.028378484072</v>
      </c>
      <c r="G91">
        <f t="shared" si="13"/>
        <v>93325.130816431163</v>
      </c>
      <c r="K91">
        <v>12</v>
      </c>
      <c r="L91">
        <f t="shared" si="14"/>
        <v>13</v>
      </c>
      <c r="M91">
        <f t="shared" si="15"/>
        <v>1965.1938461538462</v>
      </c>
      <c r="O91">
        <f t="shared" si="16"/>
        <v>25281.535084074709</v>
      </c>
      <c r="P91">
        <f t="shared" si="17"/>
        <v>70747.975499784501</v>
      </c>
    </row>
    <row r="92" spans="1:16" x14ac:dyDescent="0.25">
      <c r="A92" s="6"/>
      <c r="E92" t="s">
        <v>23</v>
      </c>
      <c r="F92">
        <v>901.50101351728836</v>
      </c>
      <c r="G92">
        <f>SUM(G79:G91)</f>
        <v>287925.0341662151</v>
      </c>
      <c r="N92" t="s">
        <v>23</v>
      </c>
      <c r="O92">
        <v>972.36673400287339</v>
      </c>
      <c r="P92">
        <f>SUM(P79:P91)</f>
        <v>387989.13305064209</v>
      </c>
    </row>
    <row r="93" spans="1:16" x14ac:dyDescent="0.25">
      <c r="A93" s="6"/>
      <c r="E93" t="s">
        <v>24</v>
      </c>
      <c r="F93">
        <f>F92*1000000/($B$95*100)</f>
        <v>3.0070836989411133E-2</v>
      </c>
      <c r="N93" t="s">
        <v>24</v>
      </c>
      <c r="O93">
        <f>O92*1000000/($B$95*100)</f>
        <v>3.2434662982845065E-2</v>
      </c>
    </row>
    <row r="94" spans="1:16" ht="17.25" x14ac:dyDescent="0.25">
      <c r="A94" s="6" t="s">
        <v>25</v>
      </c>
      <c r="B94">
        <v>6.6260700400000001</v>
      </c>
      <c r="C94">
        <v>8.0999999999999997E-8</v>
      </c>
      <c r="E94" t="s">
        <v>26</v>
      </c>
      <c r="F94">
        <f>$B$94*10^-34/(8*F92*10^6*PI()^2)</f>
        <v>9.3089365580751724E-45</v>
      </c>
      <c r="N94" t="s">
        <v>26</v>
      </c>
      <c r="O94">
        <f>$B$94*10^-34/(8*O92*10^6*PI()^2)</f>
        <v>8.6305047760386543E-45</v>
      </c>
    </row>
    <row r="95" spans="1:16" x14ac:dyDescent="0.25">
      <c r="A95" s="6" t="s">
        <v>27</v>
      </c>
      <c r="B95">
        <v>299792458</v>
      </c>
      <c r="C95" t="s">
        <v>28</v>
      </c>
      <c r="E95" t="s">
        <v>29</v>
      </c>
      <c r="F95">
        <f>SQRT(F94/($B$96*10^-27*$B$8))</f>
        <v>3.3195764748411428E-10</v>
      </c>
      <c r="N95" t="s">
        <v>29</v>
      </c>
      <c r="O95">
        <f>SQRT(O94/($B$96*10^-27*$B$8))</f>
        <v>3.1963236007980218E-10</v>
      </c>
    </row>
    <row r="96" spans="1:16" ht="17.25" x14ac:dyDescent="0.25">
      <c r="A96" s="6" t="s">
        <v>30</v>
      </c>
      <c r="B96">
        <v>1.66053904</v>
      </c>
    </row>
    <row r="97" spans="1:12" ht="17.25" x14ac:dyDescent="0.25">
      <c r="A97" s="6"/>
    </row>
    <row r="98" spans="1:12" s="8" customFormat="1" ht="17.25" x14ac:dyDescent="0.25">
      <c r="A98" s="10" t="s">
        <v>67</v>
      </c>
    </row>
    <row r="100" spans="1:12" x14ac:dyDescent="0.25">
      <c r="D100" t="s">
        <v>20</v>
      </c>
    </row>
    <row r="101" spans="1:12" x14ac:dyDescent="0.25">
      <c r="A101">
        <v>1801.4650000000001</v>
      </c>
      <c r="B101">
        <v>2</v>
      </c>
      <c r="C101">
        <v>0</v>
      </c>
      <c r="D101">
        <v>11</v>
      </c>
      <c r="E101">
        <f>B101+0.2*(D101-10)</f>
        <v>2.2000000000000002</v>
      </c>
      <c r="L101">
        <f>A113/A103</f>
        <v>1.0093055364605119</v>
      </c>
    </row>
    <row r="102" spans="1:12" x14ac:dyDescent="0.25">
      <c r="A102">
        <v>1801.9623076923076</v>
      </c>
      <c r="B102">
        <v>2</v>
      </c>
      <c r="C102">
        <v>0</v>
      </c>
      <c r="D102">
        <v>12</v>
      </c>
      <c r="E102">
        <f t="shared" ref="E102:E113" si="18">B102+0.2*(D102-10)</f>
        <v>2.4</v>
      </c>
    </row>
    <row r="103" spans="1:12" x14ac:dyDescent="0.25">
      <c r="A103">
        <v>1807.9984615384615</v>
      </c>
      <c r="B103">
        <v>2</v>
      </c>
      <c r="C103">
        <v>0</v>
      </c>
      <c r="D103">
        <v>12</v>
      </c>
      <c r="E103">
        <f t="shared" si="18"/>
        <v>2.4</v>
      </c>
    </row>
    <row r="104" spans="1:12" x14ac:dyDescent="0.25">
      <c r="A104">
        <v>1787.8128571428572</v>
      </c>
      <c r="B104">
        <v>1</v>
      </c>
      <c r="C104">
        <v>0</v>
      </c>
      <c r="D104">
        <v>13</v>
      </c>
      <c r="E104">
        <f t="shared" si="18"/>
        <v>1.6</v>
      </c>
    </row>
    <row r="105" spans="1:12" x14ac:dyDescent="0.25">
      <c r="A105">
        <v>1788.4992857142859</v>
      </c>
      <c r="B105">
        <v>1</v>
      </c>
      <c r="C105">
        <v>0</v>
      </c>
      <c r="D105">
        <v>13</v>
      </c>
      <c r="E105">
        <f t="shared" si="18"/>
        <v>1.6</v>
      </c>
    </row>
    <row r="106" spans="1:12" x14ac:dyDescent="0.25">
      <c r="A106">
        <v>1793.7742857142857</v>
      </c>
      <c r="B106">
        <v>1</v>
      </c>
      <c r="C106">
        <v>0</v>
      </c>
      <c r="D106">
        <v>13</v>
      </c>
      <c r="E106">
        <f t="shared" si="18"/>
        <v>1.6</v>
      </c>
    </row>
    <row r="107" spans="1:12" x14ac:dyDescent="0.25">
      <c r="A107">
        <v>1794.5321428571428</v>
      </c>
      <c r="B107">
        <v>1</v>
      </c>
      <c r="C107">
        <v>0</v>
      </c>
      <c r="D107">
        <v>13</v>
      </c>
      <c r="E107">
        <f t="shared" si="18"/>
        <v>1.6</v>
      </c>
    </row>
    <row r="108" spans="1:12" x14ac:dyDescent="0.25">
      <c r="A108">
        <v>1799.7149999999999</v>
      </c>
      <c r="B108">
        <v>1</v>
      </c>
      <c r="C108">
        <v>0</v>
      </c>
      <c r="D108">
        <v>13</v>
      </c>
      <c r="E108">
        <f t="shared" si="18"/>
        <v>1.6</v>
      </c>
    </row>
    <row r="109" spans="1:12" x14ac:dyDescent="0.25">
      <c r="A109">
        <v>1800.5628571428572</v>
      </c>
      <c r="B109">
        <v>1</v>
      </c>
      <c r="C109">
        <v>0</v>
      </c>
      <c r="D109">
        <v>13</v>
      </c>
      <c r="E109">
        <f t="shared" si="18"/>
        <v>1.6</v>
      </c>
    </row>
    <row r="110" spans="1:12" x14ac:dyDescent="0.25">
      <c r="A110">
        <v>1806.6178571428572</v>
      </c>
      <c r="B110">
        <v>1</v>
      </c>
      <c r="C110">
        <v>0</v>
      </c>
      <c r="D110">
        <v>13</v>
      </c>
      <c r="E110">
        <f t="shared" si="18"/>
        <v>1.6</v>
      </c>
    </row>
    <row r="111" spans="1:12" x14ac:dyDescent="0.25">
      <c r="A111">
        <v>1812.6664285714287</v>
      </c>
      <c r="B111">
        <v>1</v>
      </c>
      <c r="C111">
        <v>0</v>
      </c>
      <c r="D111">
        <v>13</v>
      </c>
      <c r="E111">
        <f t="shared" si="18"/>
        <v>1.6</v>
      </c>
    </row>
    <row r="112" spans="1:12" x14ac:dyDescent="0.25">
      <c r="A112">
        <v>1818.7342857142855</v>
      </c>
      <c r="B112">
        <v>1</v>
      </c>
      <c r="C112">
        <v>0</v>
      </c>
      <c r="D112">
        <v>13</v>
      </c>
      <c r="E112">
        <f t="shared" si="18"/>
        <v>1.6</v>
      </c>
    </row>
    <row r="113" spans="1:12" x14ac:dyDescent="0.25">
      <c r="A113">
        <v>1824.8228571428572</v>
      </c>
      <c r="B113">
        <v>1</v>
      </c>
      <c r="C113">
        <v>0</v>
      </c>
      <c r="D113">
        <v>13</v>
      </c>
      <c r="E113">
        <f t="shared" si="18"/>
        <v>1.6</v>
      </c>
    </row>
    <row r="115" spans="1:12" x14ac:dyDescent="0.25">
      <c r="A115">
        <v>1965.2345454545457</v>
      </c>
      <c r="B115">
        <v>1</v>
      </c>
      <c r="C115">
        <v>0</v>
      </c>
      <c r="D115">
        <v>10</v>
      </c>
      <c r="E115">
        <f>B115+0.2*(D115-9)</f>
        <v>1.2</v>
      </c>
    </row>
    <row r="116" spans="1:12" x14ac:dyDescent="0.25">
      <c r="A116">
        <v>1952.1258333333333</v>
      </c>
      <c r="B116">
        <v>1</v>
      </c>
      <c r="C116">
        <v>0</v>
      </c>
      <c r="D116">
        <v>11</v>
      </c>
      <c r="E116">
        <f t="shared" ref="E116:E127" si="19">B116+0.2*(D116-9)</f>
        <v>1.4</v>
      </c>
    </row>
    <row r="117" spans="1:12" x14ac:dyDescent="0.25">
      <c r="A117">
        <v>1958.665</v>
      </c>
      <c r="B117">
        <v>1</v>
      </c>
      <c r="C117">
        <v>0</v>
      </c>
      <c r="D117">
        <v>11</v>
      </c>
      <c r="E117">
        <f t="shared" si="19"/>
        <v>1.4</v>
      </c>
      <c r="L117">
        <f>A127/A122</f>
        <v>1.0139510184350617</v>
      </c>
    </row>
    <row r="118" spans="1:12" x14ac:dyDescent="0.25">
      <c r="A118">
        <v>1925.3369230769231</v>
      </c>
      <c r="B118">
        <v>2</v>
      </c>
      <c r="C118">
        <v>0</v>
      </c>
      <c r="D118">
        <v>12</v>
      </c>
      <c r="E118">
        <f t="shared" si="19"/>
        <v>2.6</v>
      </c>
    </row>
    <row r="119" spans="1:12" x14ac:dyDescent="0.25">
      <c r="A119">
        <v>1926.0761538461541</v>
      </c>
      <c r="B119">
        <v>1</v>
      </c>
      <c r="C119">
        <v>0</v>
      </c>
      <c r="D119">
        <v>12</v>
      </c>
      <c r="E119">
        <f t="shared" si="19"/>
        <v>1.6</v>
      </c>
    </row>
    <row r="120" spans="1:12" x14ac:dyDescent="0.25">
      <c r="A120">
        <v>1931.7569230769232</v>
      </c>
      <c r="B120">
        <v>2</v>
      </c>
      <c r="C120">
        <v>0</v>
      </c>
      <c r="D120">
        <v>12</v>
      </c>
      <c r="E120">
        <f t="shared" si="19"/>
        <v>2.6</v>
      </c>
    </row>
    <row r="121" spans="1:12" x14ac:dyDescent="0.25">
      <c r="A121">
        <v>1932.573076923077</v>
      </c>
      <c r="B121">
        <v>1</v>
      </c>
      <c r="C121">
        <v>0</v>
      </c>
      <c r="D121">
        <v>12</v>
      </c>
      <c r="E121">
        <f t="shared" si="19"/>
        <v>1.6</v>
      </c>
    </row>
    <row r="122" spans="1:12" x14ac:dyDescent="0.25">
      <c r="A122">
        <v>1938.1546153846152</v>
      </c>
      <c r="B122">
        <v>2</v>
      </c>
      <c r="C122">
        <v>0</v>
      </c>
      <c r="D122">
        <v>12</v>
      </c>
      <c r="E122">
        <f t="shared" si="19"/>
        <v>2.6</v>
      </c>
    </row>
    <row r="123" spans="1:12" x14ac:dyDescent="0.25">
      <c r="A123">
        <v>1939.0676923076924</v>
      </c>
      <c r="B123">
        <v>1</v>
      </c>
      <c r="C123">
        <v>0</v>
      </c>
      <c r="D123">
        <v>12</v>
      </c>
      <c r="E123">
        <f t="shared" si="19"/>
        <v>1.6</v>
      </c>
    </row>
    <row r="124" spans="1:12" x14ac:dyDescent="0.25">
      <c r="A124">
        <v>1945.5884615384616</v>
      </c>
      <c r="B124">
        <v>1</v>
      </c>
      <c r="C124">
        <v>0</v>
      </c>
      <c r="D124">
        <v>12</v>
      </c>
      <c r="E124">
        <f t="shared" si="19"/>
        <v>1.6</v>
      </c>
    </row>
    <row r="125" spans="1:12" x14ac:dyDescent="0.25">
      <c r="A125">
        <v>1952.1023076923079</v>
      </c>
      <c r="B125">
        <v>1</v>
      </c>
      <c r="C125">
        <v>0</v>
      </c>
      <c r="D125">
        <v>12</v>
      </c>
      <c r="E125">
        <f t="shared" si="19"/>
        <v>1.6</v>
      </c>
    </row>
    <row r="126" spans="1:12" x14ac:dyDescent="0.25">
      <c r="A126">
        <v>1958.636923076923</v>
      </c>
      <c r="B126">
        <v>1</v>
      </c>
      <c r="C126">
        <v>0</v>
      </c>
      <c r="D126">
        <v>12</v>
      </c>
      <c r="E126">
        <f t="shared" si="19"/>
        <v>1.6</v>
      </c>
    </row>
    <row r="127" spans="1:12" x14ac:dyDescent="0.25">
      <c r="A127">
        <v>1965.1938461538462</v>
      </c>
      <c r="B127">
        <v>1</v>
      </c>
      <c r="C127">
        <v>0</v>
      </c>
      <c r="D127">
        <v>12</v>
      </c>
      <c r="E127">
        <f t="shared" si="19"/>
        <v>1.6</v>
      </c>
    </row>
    <row r="132" spans="1:22" s="8" customFormat="1" x14ac:dyDescent="0.25">
      <c r="A132" s="8" t="s">
        <v>68</v>
      </c>
    </row>
    <row r="134" spans="1:22" x14ac:dyDescent="0.25">
      <c r="K134" t="s">
        <v>47</v>
      </c>
      <c r="O134" t="s">
        <v>48</v>
      </c>
    </row>
    <row r="135" spans="1:22" ht="18" x14ac:dyDescent="0.35">
      <c r="A135" t="s">
        <v>36</v>
      </c>
      <c r="B135" t="s">
        <v>37</v>
      </c>
      <c r="C135" t="s">
        <v>38</v>
      </c>
      <c r="D135" t="s">
        <v>11</v>
      </c>
      <c r="E135" t="s">
        <v>42</v>
      </c>
      <c r="F135" t="s">
        <v>44</v>
      </c>
      <c r="G135" t="s">
        <v>45</v>
      </c>
      <c r="K135" t="s">
        <v>46</v>
      </c>
      <c r="O135" t="s">
        <v>38</v>
      </c>
    </row>
    <row r="136" spans="1:22" x14ac:dyDescent="0.25">
      <c r="A136">
        <f>A115/2</f>
        <v>982.61727272727285</v>
      </c>
      <c r="B136">
        <v>0</v>
      </c>
      <c r="C136">
        <f>C$150-C$151*(B136+0.5)</f>
        <v>982.6226086741807</v>
      </c>
      <c r="D136">
        <f>A136-C136</f>
        <v>-5.3359469078486654E-3</v>
      </c>
      <c r="E136">
        <f>D136^2</f>
        <v>2.8472329403379734E-5</v>
      </c>
      <c r="G136">
        <f>G$150-G$151*($B136+0.5)</f>
        <v>982.60268384913843</v>
      </c>
      <c r="H136">
        <f>$A136-G136</f>
        <v>1.4588878134418337E-2</v>
      </c>
      <c r="I136">
        <f>H136^2</f>
        <v>2.1283536522090945E-4</v>
      </c>
      <c r="K136">
        <f>K$150-K$151*($B136+0.5)</f>
        <v>982.5918342080472</v>
      </c>
      <c r="L136">
        <f>$A136-K136</f>
        <v>2.5438519225644995E-2</v>
      </c>
      <c r="M136">
        <f>L136^2</f>
        <v>6.4711826039351005E-4</v>
      </c>
    </row>
    <row r="137" spans="1:22" x14ac:dyDescent="0.25">
      <c r="A137">
        <f>A116/2</f>
        <v>976.06291666666664</v>
      </c>
      <c r="B137">
        <v>2</v>
      </c>
      <c r="C137">
        <f t="shared" ref="C137:C148" si="20">C$150-C$151*(B137+0.5)</f>
        <v>976.01554396797246</v>
      </c>
      <c r="D137">
        <f t="shared" ref="D137:D148" si="21">A137-C137</f>
        <v>4.7372698694175597E-2</v>
      </c>
      <c r="E137">
        <f t="shared" ref="E137:E148" si="22">D137^2</f>
        <v>2.2441725815691461E-3</v>
      </c>
      <c r="G137">
        <f t="shared" ref="G137:G148" si="23">G$150-G$151*($B137+0.5)</f>
        <v>976.05927755991513</v>
      </c>
      <c r="H137">
        <f t="shared" ref="H137:H148" si="24">$A137-G137</f>
        <v>3.6391067515069153E-3</v>
      </c>
      <c r="I137">
        <f t="shared" ref="I137:I148" si="25">H137^2</f>
        <v>1.3243097948863215E-5</v>
      </c>
      <c r="K137">
        <f t="shared" ref="K137:K148" si="26">K$150-K$151*($B137+0.5)</f>
        <v>976.06796571541088</v>
      </c>
      <c r="L137">
        <f t="shared" ref="L137:L148" si="27">$A137-K137</f>
        <v>-5.0490487442402809E-3</v>
      </c>
      <c r="M137">
        <f t="shared" ref="M137:M148" si="28">L137^2</f>
        <v>2.5492893221714359E-5</v>
      </c>
    </row>
    <row r="138" spans="1:22" x14ac:dyDescent="0.25">
      <c r="A138">
        <f>A117/2</f>
        <v>979.33249999999998</v>
      </c>
      <c r="B138">
        <v>1</v>
      </c>
      <c r="C138">
        <f t="shared" si="20"/>
        <v>979.31907632107652</v>
      </c>
      <c r="D138">
        <f t="shared" si="21"/>
        <v>1.3423678923459192E-2</v>
      </c>
      <c r="E138">
        <f t="shared" si="22"/>
        <v>1.8019515584012254E-4</v>
      </c>
      <c r="G138">
        <f t="shared" si="23"/>
        <v>979.33098070452672</v>
      </c>
      <c r="H138">
        <f t="shared" si="24"/>
        <v>1.519295473258353E-3</v>
      </c>
      <c r="I138">
        <f t="shared" si="25"/>
        <v>2.3082587350633228E-6</v>
      </c>
      <c r="K138">
        <f t="shared" si="26"/>
        <v>979.32989996172898</v>
      </c>
      <c r="L138">
        <f t="shared" si="27"/>
        <v>2.600038270998084E-3</v>
      </c>
      <c r="M138">
        <f t="shared" si="28"/>
        <v>6.7601990106547062E-6</v>
      </c>
    </row>
    <row r="139" spans="1:22" s="8" customFormat="1" x14ac:dyDescent="0.25">
      <c r="A139" s="8">
        <f>A118/2</f>
        <v>962.66846153846154</v>
      </c>
      <c r="B139" s="8">
        <v>6</v>
      </c>
      <c r="C139" s="8">
        <f t="shared" si="20"/>
        <v>962.80141455555588</v>
      </c>
      <c r="D139" s="8">
        <f t="shared" si="21"/>
        <v>-0.13295301709433716</v>
      </c>
      <c r="E139" s="8">
        <f t="shared" si="22"/>
        <v>1.7676504754487107E-2</v>
      </c>
      <c r="F139" s="8" t="s">
        <v>43</v>
      </c>
      <c r="G139" s="8">
        <f t="shared" si="23"/>
        <v>962.97246498146853</v>
      </c>
      <c r="H139" s="8">
        <f t="shared" si="24"/>
        <v>-0.30400344300699089</v>
      </c>
      <c r="I139" s="8">
        <f t="shared" si="25"/>
        <v>9.2418093360104758E-2</v>
      </c>
      <c r="J139" s="8" t="s">
        <v>43</v>
      </c>
      <c r="K139" s="8">
        <f t="shared" si="26"/>
        <v>963.02022873013823</v>
      </c>
      <c r="L139" s="8">
        <f t="shared" si="27"/>
        <v>-0.3517671916766858</v>
      </c>
      <c r="M139" s="8">
        <f t="shared" si="28"/>
        <v>0.12374015714010221</v>
      </c>
      <c r="O139" s="8">
        <f t="shared" ref="O139:O143" si="29">O$150-O$151*($B139+0.5)</f>
        <v>962.67032051281979</v>
      </c>
      <c r="P139" s="8">
        <f t="shared" ref="P139:P143" si="30">$A139-O139</f>
        <v>-1.8589743582424489E-3</v>
      </c>
      <c r="Q139" s="8">
        <f t="shared" ref="Q139:Q143" si="31">P139^2</f>
        <v>3.4557856646029249E-6</v>
      </c>
      <c r="S139" s="8">
        <v>2</v>
      </c>
      <c r="T139" s="8">
        <f>T$150-T$151*($S139+0.5)</f>
        <v>962.67032051283206</v>
      </c>
      <c r="U139" s="8">
        <f t="shared" ref="U139:U143" si="32">$A139-T139</f>
        <v>-1.8589743705206274E-3</v>
      </c>
      <c r="V139" s="8">
        <f t="shared" ref="V139:V143" si="33">U139^2</f>
        <v>3.4557857102525628E-6</v>
      </c>
    </row>
    <row r="140" spans="1:22" x14ac:dyDescent="0.25">
      <c r="A140">
        <f>A119/2</f>
        <v>963.03807692307703</v>
      </c>
      <c r="B140">
        <v>6</v>
      </c>
      <c r="C140">
        <f t="shared" si="20"/>
        <v>962.80141455555588</v>
      </c>
      <c r="D140">
        <f t="shared" si="21"/>
        <v>0.23666236752114855</v>
      </c>
      <c r="E140">
        <f t="shared" si="22"/>
        <v>5.6009076200715192E-2</v>
      </c>
      <c r="F140" t="s">
        <v>43</v>
      </c>
      <c r="G140">
        <f t="shared" si="23"/>
        <v>962.97246498146853</v>
      </c>
      <c r="H140">
        <f t="shared" si="24"/>
        <v>6.5611941608494817E-2</v>
      </c>
      <c r="I140">
        <f t="shared" si="25"/>
        <v>4.3049268816365335E-3</v>
      </c>
      <c r="K140">
        <f t="shared" si="26"/>
        <v>963.02022873013823</v>
      </c>
      <c r="L140">
        <f t="shared" si="27"/>
        <v>1.7848192938799912E-2</v>
      </c>
      <c r="M140">
        <f t="shared" si="28"/>
        <v>3.1855799118062702E-4</v>
      </c>
    </row>
    <row r="141" spans="1:22" s="8" customFormat="1" x14ac:dyDescent="0.25">
      <c r="A141" s="8">
        <f>A120/2</f>
        <v>965.87846153846158</v>
      </c>
      <c r="B141" s="8">
        <v>5</v>
      </c>
      <c r="C141" s="8">
        <f t="shared" si="20"/>
        <v>966.10494690865994</v>
      </c>
      <c r="D141" s="8">
        <f t="shared" si="21"/>
        <v>-0.22648537019836112</v>
      </c>
      <c r="E141" s="8">
        <f t="shared" si="22"/>
        <v>5.1295622913888686E-2</v>
      </c>
      <c r="F141" s="8" t="s">
        <v>43</v>
      </c>
      <c r="G141" s="8">
        <f t="shared" si="23"/>
        <v>966.24416812608024</v>
      </c>
      <c r="H141" s="8">
        <f t="shared" si="24"/>
        <v>-0.36570658761866071</v>
      </c>
      <c r="I141" s="8">
        <f t="shared" si="25"/>
        <v>0.13374130822768515</v>
      </c>
      <c r="J141" s="8" t="s">
        <v>43</v>
      </c>
      <c r="K141" s="8">
        <f t="shared" si="26"/>
        <v>966.28216297645645</v>
      </c>
      <c r="L141" s="8">
        <f t="shared" si="27"/>
        <v>-0.40370143799486868</v>
      </c>
      <c r="M141" s="8">
        <f t="shared" si="28"/>
        <v>0.16297485103912479</v>
      </c>
      <c r="O141" s="8">
        <f t="shared" si="29"/>
        <v>965.87474358974328</v>
      </c>
      <c r="P141" s="8">
        <f t="shared" si="30"/>
        <v>3.7179487183038873E-3</v>
      </c>
      <c r="Q141" s="8">
        <f t="shared" si="31"/>
        <v>1.3823142671937518E-5</v>
      </c>
      <c r="S141" s="8">
        <v>1</v>
      </c>
      <c r="T141" s="8">
        <f>T$150-T$151*($S141+0.5)</f>
        <v>965.8747435897551</v>
      </c>
      <c r="U141" s="8">
        <f t="shared" si="32"/>
        <v>3.7179487064804562E-3</v>
      </c>
      <c r="V141" s="8">
        <f t="shared" si="33"/>
        <v>1.3823142584019698E-5</v>
      </c>
    </row>
    <row r="142" spans="1:22" x14ac:dyDescent="0.25">
      <c r="A142">
        <f>A121/2</f>
        <v>966.2865384615385</v>
      </c>
      <c r="B142">
        <v>5</v>
      </c>
      <c r="C142">
        <f t="shared" si="20"/>
        <v>966.10494690865994</v>
      </c>
      <c r="D142">
        <f t="shared" si="21"/>
        <v>0.1815915528785581</v>
      </c>
      <c r="E142">
        <f t="shared" si="22"/>
        <v>3.2975492076846163E-2</v>
      </c>
      <c r="F142" t="s">
        <v>43</v>
      </c>
      <c r="G142">
        <f t="shared" si="23"/>
        <v>966.24416812608024</v>
      </c>
      <c r="H142">
        <f t="shared" si="24"/>
        <v>4.2370335458258523E-2</v>
      </c>
      <c r="I142">
        <f t="shared" si="25"/>
        <v>1.7952453268453596E-3</v>
      </c>
      <c r="K142">
        <f t="shared" si="26"/>
        <v>966.28216297645645</v>
      </c>
      <c r="L142">
        <f t="shared" si="27"/>
        <v>4.3754850820505453E-3</v>
      </c>
      <c r="M142">
        <f t="shared" si="28"/>
        <v>1.9144869703246867E-5</v>
      </c>
    </row>
    <row r="143" spans="1:22" s="8" customFormat="1" x14ac:dyDescent="0.25">
      <c r="A143" s="8">
        <f>A122/2</f>
        <v>969.07730769230761</v>
      </c>
      <c r="B143" s="8">
        <v>4</v>
      </c>
      <c r="C143" s="8">
        <f t="shared" si="20"/>
        <v>969.40847926176411</v>
      </c>
      <c r="D143" s="8">
        <f t="shared" si="21"/>
        <v>-0.33117156945650095</v>
      </c>
      <c r="E143" s="8">
        <f t="shared" si="22"/>
        <v>0.10967460841628203</v>
      </c>
      <c r="F143" s="8" t="s">
        <v>43</v>
      </c>
      <c r="G143" s="8">
        <f t="shared" si="23"/>
        <v>969.51587127069183</v>
      </c>
      <c r="H143" s="8">
        <f t="shared" si="24"/>
        <v>-0.438563578384219</v>
      </c>
      <c r="I143" s="8">
        <f t="shared" si="25"/>
        <v>0.192338012285171</v>
      </c>
      <c r="J143" s="8" t="s">
        <v>43</v>
      </c>
      <c r="K143" s="8">
        <f t="shared" si="26"/>
        <v>969.54409722277455</v>
      </c>
      <c r="L143" s="8">
        <f t="shared" si="27"/>
        <v>-0.46678953046694005</v>
      </c>
      <c r="M143" s="8">
        <f t="shared" si="28"/>
        <v>0.21789246575354634</v>
      </c>
      <c r="O143" s="8">
        <f t="shared" si="29"/>
        <v>969.07916666666677</v>
      </c>
      <c r="P143" s="8">
        <f t="shared" si="30"/>
        <v>-1.8589743591519436E-3</v>
      </c>
      <c r="Q143" s="8">
        <f t="shared" si="31"/>
        <v>3.4557856679843796E-6</v>
      </c>
      <c r="S143" s="8">
        <v>0</v>
      </c>
      <c r="T143" s="8">
        <f>T$150-T$151*($S143+0.5)</f>
        <v>969.07916666667813</v>
      </c>
      <c r="U143" s="8">
        <f t="shared" si="32"/>
        <v>-1.8589743705206274E-3</v>
      </c>
      <c r="V143" s="8">
        <f t="shared" si="33"/>
        <v>3.4557857102525628E-6</v>
      </c>
    </row>
    <row r="144" spans="1:22" x14ac:dyDescent="0.25">
      <c r="A144">
        <f>A123/2</f>
        <v>969.53384615384618</v>
      </c>
      <c r="B144">
        <v>4</v>
      </c>
      <c r="C144">
        <f t="shared" si="20"/>
        <v>969.40847926176411</v>
      </c>
      <c r="D144">
        <f t="shared" si="21"/>
        <v>0.12536689208207008</v>
      </c>
      <c r="E144">
        <f t="shared" si="22"/>
        <v>1.5716857630317407E-2</v>
      </c>
      <c r="F144" t="s">
        <v>43</v>
      </c>
      <c r="G144">
        <f t="shared" si="23"/>
        <v>969.51587127069183</v>
      </c>
      <c r="H144">
        <f t="shared" si="24"/>
        <v>1.7974883154352028E-2</v>
      </c>
      <c r="I144">
        <f t="shared" si="25"/>
        <v>3.2309642441260834E-4</v>
      </c>
      <c r="K144">
        <f t="shared" si="26"/>
        <v>969.54409722277455</v>
      </c>
      <c r="L144">
        <f t="shared" si="27"/>
        <v>-1.0251068928369023E-2</v>
      </c>
      <c r="M144">
        <f t="shared" si="28"/>
        <v>1.0508441417417282E-4</v>
      </c>
    </row>
    <row r="145" spans="1:22" x14ac:dyDescent="0.25">
      <c r="A145">
        <f>A124/2</f>
        <v>972.79423076923081</v>
      </c>
      <c r="B145">
        <v>3</v>
      </c>
      <c r="C145">
        <f t="shared" si="20"/>
        <v>972.71201161486829</v>
      </c>
      <c r="D145">
        <f t="shared" si="21"/>
        <v>8.2219154362519475E-2</v>
      </c>
      <c r="E145">
        <f t="shared" si="22"/>
        <v>6.7599893440878052E-3</v>
      </c>
      <c r="G145">
        <f t="shared" si="23"/>
        <v>972.78757441530354</v>
      </c>
      <c r="H145">
        <f t="shared" si="24"/>
        <v>6.6563539272692651E-3</v>
      </c>
      <c r="I145">
        <f t="shared" si="25"/>
        <v>4.4307047605072968E-5</v>
      </c>
      <c r="K145">
        <f t="shared" si="26"/>
        <v>972.80603146909266</v>
      </c>
      <c r="L145">
        <f t="shared" si="27"/>
        <v>-1.1800699861851172E-2</v>
      </c>
      <c r="M145">
        <f t="shared" si="28"/>
        <v>1.3925651722949427E-4</v>
      </c>
    </row>
    <row r="146" spans="1:22" x14ac:dyDescent="0.25">
      <c r="A146">
        <f>A125/2</f>
        <v>976.05115384615397</v>
      </c>
      <c r="B146">
        <v>2</v>
      </c>
      <c r="C146">
        <f t="shared" si="20"/>
        <v>976.01554396797246</v>
      </c>
      <c r="D146">
        <f t="shared" si="21"/>
        <v>3.5609878181503518E-2</v>
      </c>
      <c r="E146">
        <f t="shared" si="22"/>
        <v>1.2680634241015202E-3</v>
      </c>
      <c r="G146">
        <f t="shared" si="23"/>
        <v>976.05927755991513</v>
      </c>
      <c r="H146">
        <f t="shared" si="24"/>
        <v>-8.1237137611651633E-3</v>
      </c>
      <c r="I146">
        <f t="shared" si="25"/>
        <v>6.5994725273344249E-5</v>
      </c>
      <c r="K146">
        <f t="shared" si="26"/>
        <v>976.06796571541088</v>
      </c>
      <c r="L146">
        <f t="shared" si="27"/>
        <v>-1.681186925691236E-2</v>
      </c>
      <c r="M146">
        <f t="shared" si="28"/>
        <v>2.8263894791151495E-4</v>
      </c>
    </row>
    <row r="147" spans="1:22" x14ac:dyDescent="0.25">
      <c r="A147">
        <f>A126/2</f>
        <v>979.31846153846152</v>
      </c>
      <c r="B147">
        <v>1</v>
      </c>
      <c r="C147">
        <f t="shared" si="20"/>
        <v>979.31907632107652</v>
      </c>
      <c r="D147">
        <f t="shared" si="21"/>
        <v>-6.1478261500269582E-4</v>
      </c>
      <c r="E147">
        <f t="shared" si="22"/>
        <v>3.7795766370955291E-7</v>
      </c>
      <c r="G147">
        <f t="shared" si="23"/>
        <v>979.33098070452672</v>
      </c>
      <c r="H147">
        <f t="shared" si="24"/>
        <v>-1.2519166065203535E-2</v>
      </c>
      <c r="I147">
        <f t="shared" si="25"/>
        <v>1.5672951896814378E-4</v>
      </c>
      <c r="K147">
        <f t="shared" si="26"/>
        <v>979.32989996172898</v>
      </c>
      <c r="L147">
        <f t="shared" si="27"/>
        <v>-1.1438423267463804E-2</v>
      </c>
      <c r="M147">
        <f t="shared" si="28"/>
        <v>1.3083752684565732E-4</v>
      </c>
    </row>
    <row r="148" spans="1:22" x14ac:dyDescent="0.25">
      <c r="A148">
        <f>A127/2</f>
        <v>982.59692307692308</v>
      </c>
      <c r="B148">
        <v>0</v>
      </c>
      <c r="C148">
        <f t="shared" si="20"/>
        <v>982.6226086741807</v>
      </c>
      <c r="D148">
        <f t="shared" si="21"/>
        <v>-2.5685597257620429E-2</v>
      </c>
      <c r="E148">
        <f t="shared" si="22"/>
        <v>6.5974990648067812E-4</v>
      </c>
      <c r="G148">
        <f t="shared" si="23"/>
        <v>982.60268384913843</v>
      </c>
      <c r="H148">
        <f t="shared" si="24"/>
        <v>-5.7607722153534269E-3</v>
      </c>
      <c r="I148">
        <f t="shared" si="25"/>
        <v>3.3186496517188032E-5</v>
      </c>
      <c r="K148">
        <f t="shared" si="26"/>
        <v>982.5918342080472</v>
      </c>
      <c r="L148">
        <f t="shared" si="27"/>
        <v>5.0888688758732314E-3</v>
      </c>
      <c r="M148">
        <f t="shared" si="28"/>
        <v>2.5896586435831286E-5</v>
      </c>
    </row>
    <row r="149" spans="1:22" x14ac:dyDescent="0.25">
      <c r="E149">
        <f>SUM(E136:E148)</f>
        <v>0.29448918269168289</v>
      </c>
      <c r="I149">
        <f>SUM(I136:I138,I145:I148)</f>
        <v>5.2860451026858499E-4</v>
      </c>
      <c r="M149">
        <f>SUM(M136:M138,M140,M142,M144:M148)</f>
        <v>1.7007882061064235E-3</v>
      </c>
      <c r="Q149">
        <f>SUM(Q139,Q141,Q143)</f>
        <v>2.0734714004524821E-5</v>
      </c>
      <c r="V149">
        <f>SUM(V139,V141,V143)</f>
        <v>2.0734714004524824E-5</v>
      </c>
    </row>
    <row r="150" spans="1:22" ht="18" x14ac:dyDescent="0.35">
      <c r="A150" t="s">
        <v>39</v>
      </c>
      <c r="C150">
        <v>984.27437485073278</v>
      </c>
      <c r="G150">
        <v>984.23853542144423</v>
      </c>
      <c r="K150">
        <v>984.22280133120626</v>
      </c>
      <c r="O150">
        <v>983.49907051282219</v>
      </c>
      <c r="T150">
        <v>970.68137820513959</v>
      </c>
    </row>
    <row r="151" spans="1:22" ht="18" x14ac:dyDescent="0.35">
      <c r="A151" t="s">
        <v>40</v>
      </c>
      <c r="C151">
        <v>3.3035323531041469</v>
      </c>
      <c r="G151">
        <v>3.2717031446116409</v>
      </c>
      <c r="K151">
        <v>3.2619342463181558</v>
      </c>
      <c r="O151">
        <v>3.204423076923439</v>
      </c>
      <c r="T151">
        <v>3.2044230769230335</v>
      </c>
    </row>
    <row r="152" spans="1:22" ht="18" x14ac:dyDescent="0.35">
      <c r="A152" s="7" t="s">
        <v>41</v>
      </c>
    </row>
    <row r="153" spans="1:22" x14ac:dyDescent="0.25">
      <c r="N153" t="s">
        <v>49</v>
      </c>
      <c r="O153">
        <f>K150/O150</f>
        <v>1.0007358734136949</v>
      </c>
      <c r="T153">
        <f>K150/T150</f>
        <v>1.0139504305224292</v>
      </c>
    </row>
    <row r="154" spans="1:22" x14ac:dyDescent="0.25">
      <c r="N154" t="s">
        <v>50</v>
      </c>
      <c r="O154">
        <f>B9/B8</f>
        <v>1.0139616434635172</v>
      </c>
      <c r="T154">
        <f>B9/B8</f>
        <v>1.0139616434635172</v>
      </c>
    </row>
    <row r="156" spans="1:22" s="8" customFormat="1" x14ac:dyDescent="0.25">
      <c r="A156" s="8" t="s">
        <v>69</v>
      </c>
    </row>
    <row r="158" spans="1:22" x14ac:dyDescent="0.25">
      <c r="A158" t="s">
        <v>51</v>
      </c>
      <c r="C158" t="s">
        <v>52</v>
      </c>
      <c r="D158" t="s">
        <v>37</v>
      </c>
      <c r="E158" t="s">
        <v>35</v>
      </c>
      <c r="F158" t="s">
        <v>19</v>
      </c>
      <c r="G158" t="s">
        <v>10</v>
      </c>
      <c r="H158" t="s">
        <v>55</v>
      </c>
      <c r="I158" t="s">
        <v>56</v>
      </c>
      <c r="K158" t="s">
        <v>13</v>
      </c>
      <c r="O158" t="s">
        <v>17</v>
      </c>
      <c r="S158" t="s">
        <v>57</v>
      </c>
    </row>
    <row r="159" spans="1:22" x14ac:dyDescent="0.25">
      <c r="A159" s="6">
        <v>21617.58</v>
      </c>
      <c r="B159">
        <v>0.1</v>
      </c>
      <c r="C159">
        <v>1</v>
      </c>
      <c r="D159">
        <v>0</v>
      </c>
      <c r="E159">
        <v>10</v>
      </c>
      <c r="F159">
        <f>E159+1</f>
        <v>11</v>
      </c>
      <c r="G159">
        <f>2*(G$171-G$172*($D159+0.5))*$F159</f>
        <v>21616.976676830218</v>
      </c>
      <c r="H159" s="6">
        <f>$A159-G159</f>
        <v>0.6033231697838346</v>
      </c>
      <c r="I159" s="6">
        <f>H159^2</f>
        <v>0.36399884719801373</v>
      </c>
      <c r="J159" s="6"/>
      <c r="K159">
        <f>2*(K$171-K$172*($D159+0.5)+K$173*($D159+0.5)^2)*$F159</f>
        <v>21617.289724773153</v>
      </c>
      <c r="L159" s="6">
        <f>$A159-K159</f>
        <v>0.29027522684918949</v>
      </c>
      <c r="M159" s="6">
        <f>L159^2</f>
        <v>8.4259707322348415E-2</v>
      </c>
      <c r="N159" s="6"/>
      <c r="O159">
        <f>2*(O$171-O$172*($D159+0.5))*$F159-4*O$174*$F159^3</f>
        <v>21617.370685649439</v>
      </c>
      <c r="P159" s="6">
        <f>$A159-O159</f>
        <v>0.20931435056263581</v>
      </c>
      <c r="Q159" s="6">
        <f>P159^2</f>
        <v>4.3812497351458E-2</v>
      </c>
      <c r="R159" s="6"/>
      <c r="S159">
        <f>2*(S$171-S$172*($D159+0.5)+S$173*($D159+0.5)^2)*$F159-4*$S174*$F159^3</f>
        <v>21617.579999998095</v>
      </c>
      <c r="T159" s="6">
        <f>$A159-S159</f>
        <v>1.9063008949160576E-9</v>
      </c>
      <c r="U159" s="6">
        <f>T159^2</f>
        <v>3.633983101957762E-18</v>
      </c>
    </row>
    <row r="160" spans="1:22" x14ac:dyDescent="0.25">
      <c r="A160" s="6">
        <v>23425.51</v>
      </c>
      <c r="B160">
        <v>0.1</v>
      </c>
      <c r="C160">
        <v>1</v>
      </c>
      <c r="D160">
        <v>2</v>
      </c>
      <c r="E160">
        <v>11</v>
      </c>
      <c r="F160">
        <f t="shared" ref="F160:F168" si="34">E160+1</f>
        <v>12</v>
      </c>
      <c r="G160">
        <f t="shared" ref="G160:G168" si="35">2*(G$171-G$172*($D160+0.5))*$F160</f>
        <v>23425.607653866147</v>
      </c>
      <c r="H160" s="6">
        <f t="shared" ref="H160:H168" si="36">$A160-G160</f>
        <v>-9.7653866148903035E-2</v>
      </c>
      <c r="I160" s="6">
        <f t="shared" ref="I160:I168" si="37">H160^2</f>
        <v>9.5362775738278699E-3</v>
      </c>
      <c r="J160" s="6"/>
      <c r="K160">
        <f t="shared" ref="K160:K168" si="38">2*(K$171-K$172*($D160+0.5)+K$173*($D160+0.5)^2)*$F160</f>
        <v>23425.356093553979</v>
      </c>
      <c r="L160" s="6">
        <f t="shared" ref="L160:L168" si="39">$A160-K160</f>
        <v>0.1539064460193913</v>
      </c>
      <c r="M160" s="6">
        <f t="shared" ref="M160:M168" si="40">L160^2</f>
        <v>2.3687194126319807E-2</v>
      </c>
      <c r="N160" s="6"/>
      <c r="O160">
        <f t="shared" ref="O160:O168" si="41">2*(O$171-O$172*($D160+0.5))*$F160-4*O$174*$F160^3</f>
        <v>23425.816545084013</v>
      </c>
      <c r="P160" s="6">
        <f t="shared" ref="P160:P168" si="42">$A160-O160</f>
        <v>-0.3065450840149424</v>
      </c>
      <c r="Q160" s="6">
        <f t="shared" ref="Q160:Q168" si="43">P160^2</f>
        <v>9.3969888533728091E-2</v>
      </c>
      <c r="R160" s="6"/>
      <c r="S160">
        <f t="shared" ref="S160" si="44">2*(S$171-S$172*($D160+0.5)+S$173*($D160+0.5)^2)*$F160-4*$R175*$F160^3</f>
        <v>23425.352555369456</v>
      </c>
      <c r="T160" s="6">
        <f t="shared" ref="T160:T168" si="45">$A160-S160</f>
        <v>0.15744463054215885</v>
      </c>
      <c r="U160" s="6">
        <f t="shared" ref="U160:U168" si="46">T160^2</f>
        <v>2.4788811686556899E-2</v>
      </c>
    </row>
    <row r="161" spans="1:21" x14ac:dyDescent="0.25">
      <c r="A161" s="6">
        <v>23503.98</v>
      </c>
      <c r="B161">
        <v>0.1</v>
      </c>
      <c r="C161">
        <v>1</v>
      </c>
      <c r="D161">
        <v>1</v>
      </c>
      <c r="E161">
        <v>11</v>
      </c>
      <c r="F161">
        <f t="shared" si="34"/>
        <v>12</v>
      </c>
      <c r="G161">
        <f t="shared" si="35"/>
        <v>23503.88201429501</v>
      </c>
      <c r="H161" s="6">
        <f t="shared" si="36"/>
        <v>9.7985704989696387E-2</v>
      </c>
      <c r="I161" s="6">
        <f t="shared" si="37"/>
        <v>9.6011983823278118E-3</v>
      </c>
      <c r="J161" s="6"/>
      <c r="K161">
        <f t="shared" si="38"/>
        <v>23503.848725106967</v>
      </c>
      <c r="L161" s="6">
        <f t="shared" si="39"/>
        <v>0.13127489303224138</v>
      </c>
      <c r="M161" s="6">
        <f t="shared" si="40"/>
        <v>1.7233097540626418E-2</v>
      </c>
      <c r="N161" s="6"/>
      <c r="O161">
        <f t="shared" si="41"/>
        <v>23504.041848069319</v>
      </c>
      <c r="P161" s="6">
        <f t="shared" si="42"/>
        <v>-6.1848069319239585E-2</v>
      </c>
      <c r="Q161" s="6">
        <f t="shared" si="43"/>
        <v>3.8251836785174647E-3</v>
      </c>
      <c r="R161" s="6"/>
      <c r="S161">
        <f>2*(S$171-S$172*($D161+0.5)+S$173*($D161+0.5)^2)*$F161-4*$R178*$F161^3</f>
        <v>23503.784125112958</v>
      </c>
      <c r="T161" s="6">
        <f t="shared" si="45"/>
        <v>0.1958748870420095</v>
      </c>
      <c r="U161" s="6">
        <f t="shared" si="46"/>
        <v>3.8366971373719985E-2</v>
      </c>
    </row>
    <row r="162" spans="1:21" x14ac:dyDescent="0.25">
      <c r="A162" s="6">
        <v>25038.99</v>
      </c>
      <c r="B162">
        <v>0.1</v>
      </c>
      <c r="C162">
        <v>1</v>
      </c>
      <c r="D162">
        <v>6</v>
      </c>
      <c r="E162">
        <v>12</v>
      </c>
      <c r="F162">
        <f t="shared" si="34"/>
        <v>13</v>
      </c>
      <c r="G162">
        <f t="shared" si="35"/>
        <v>25038.55272982992</v>
      </c>
      <c r="H162" s="6">
        <f t="shared" si="36"/>
        <v>0.43727017008131952</v>
      </c>
      <c r="I162" s="6">
        <f t="shared" si="37"/>
        <v>0.1912052016429461</v>
      </c>
      <c r="J162" s="6"/>
      <c r="K162">
        <f t="shared" si="38"/>
        <v>25039.030051153677</v>
      </c>
      <c r="L162" s="6">
        <f t="shared" si="39"/>
        <v>-4.0051153675449314E-2</v>
      </c>
      <c r="M162" s="6">
        <f t="shared" si="40"/>
        <v>1.6040949107344572E-3</v>
      </c>
      <c r="N162" s="6"/>
      <c r="O162">
        <f t="shared" si="41"/>
        <v>25038.615916236537</v>
      </c>
      <c r="P162" s="6">
        <f t="shared" si="42"/>
        <v>0.37408376346502337</v>
      </c>
      <c r="Q162" s="6">
        <f t="shared" si="43"/>
        <v>0.13993866208815556</v>
      </c>
      <c r="R162" s="6"/>
      <c r="S162">
        <f>2*(S$171-S$172*($D162+0.5)+S$173*($D162+0.5)^2)*$F162-4*$R179*$F162^3</f>
        <v>25038.996085203027</v>
      </c>
      <c r="T162" s="6">
        <f t="shared" si="45"/>
        <v>-6.085203025577357E-3</v>
      </c>
      <c r="U162" s="6">
        <f t="shared" si="46"/>
        <v>3.702969586249582E-5</v>
      </c>
    </row>
    <row r="163" spans="1:21" x14ac:dyDescent="0.25">
      <c r="A163" s="6">
        <v>25123.45</v>
      </c>
      <c r="B163">
        <v>0.1</v>
      </c>
      <c r="C163">
        <v>1</v>
      </c>
      <c r="D163">
        <v>5</v>
      </c>
      <c r="E163">
        <v>12</v>
      </c>
      <c r="F163">
        <f t="shared" si="34"/>
        <v>13</v>
      </c>
      <c r="G163">
        <f t="shared" si="35"/>
        <v>25123.349953627854</v>
      </c>
      <c r="H163" s="6">
        <f t="shared" si="36"/>
        <v>0.10004637214660761</v>
      </c>
      <c r="I163" s="6">
        <f t="shared" si="37"/>
        <v>1.0009276579697503E-2</v>
      </c>
      <c r="J163" s="6"/>
      <c r="K163">
        <f t="shared" si="38"/>
        <v>25123.38546072282</v>
      </c>
      <c r="L163" s="6">
        <f t="shared" si="39"/>
        <v>6.4539277180301724E-2</v>
      </c>
      <c r="M163" s="6">
        <f t="shared" si="40"/>
        <v>4.1653182989558153E-3</v>
      </c>
      <c r="N163" s="6"/>
      <c r="O163">
        <f t="shared" si="41"/>
        <v>25123.359994470618</v>
      </c>
      <c r="P163" s="6">
        <f t="shared" si="42"/>
        <v>9.0005529382324312E-2</v>
      </c>
      <c r="Q163" s="6">
        <f t="shared" si="43"/>
        <v>8.1009953193924445E-3</v>
      </c>
      <c r="R163" s="6"/>
      <c r="S163">
        <f>2*(S$171-S$172*($D163+0.5)+S$173*($D163+0.5)^2)*$F163-4*$R180*$F163^3</f>
        <v>25123.403238115305</v>
      </c>
      <c r="T163" s="6">
        <f t="shared" si="45"/>
        <v>4.6761884696024936E-2</v>
      </c>
      <c r="U163" s="6">
        <f t="shared" si="46"/>
        <v>2.186673860324331E-3</v>
      </c>
    </row>
    <row r="164" spans="1:21" x14ac:dyDescent="0.25">
      <c r="A164" s="6">
        <v>25207.88</v>
      </c>
      <c r="B164">
        <v>0.2</v>
      </c>
      <c r="C164">
        <v>1</v>
      </c>
      <c r="D164">
        <v>4</v>
      </c>
      <c r="E164">
        <v>12</v>
      </c>
      <c r="F164">
        <f t="shared" si="34"/>
        <v>13</v>
      </c>
      <c r="G164">
        <f t="shared" si="35"/>
        <v>25208.147177425788</v>
      </c>
      <c r="H164" s="6">
        <f t="shared" si="36"/>
        <v>-0.26717742578694015</v>
      </c>
      <c r="I164" s="6">
        <f t="shared" si="37"/>
        <v>7.1383776850135916E-2</v>
      </c>
      <c r="J164" s="6"/>
      <c r="K164">
        <f t="shared" si="38"/>
        <v>25207.910438945277</v>
      </c>
      <c r="L164" s="6">
        <f t="shared" si="39"/>
        <v>-3.0438945275818696E-2</v>
      </c>
      <c r="M164" s="6">
        <f t="shared" si="40"/>
        <v>9.2652938950428532E-4</v>
      </c>
      <c r="N164" s="6"/>
      <c r="O164">
        <f t="shared" si="41"/>
        <v>25208.104072704697</v>
      </c>
      <c r="P164" s="6">
        <f t="shared" si="42"/>
        <v>-0.22407270469557261</v>
      </c>
      <c r="Q164" s="6">
        <f t="shared" si="43"/>
        <v>5.020857698958929E-2</v>
      </c>
      <c r="R164" s="6"/>
      <c r="S164">
        <f>2*(S$171-S$172*($D164+0.5)+S$173*($D164+0.5)^2)*$F164-4*$R181*$F164^3</f>
        <v>25207.950486271708</v>
      </c>
      <c r="T164" s="6">
        <f t="shared" si="45"/>
        <v>-7.0486271706613479E-2</v>
      </c>
      <c r="U164" s="6">
        <f t="shared" si="46"/>
        <v>4.96831449909854E-3</v>
      </c>
    </row>
    <row r="165" spans="1:21" x14ac:dyDescent="0.25">
      <c r="A165" s="6">
        <v>25292.65</v>
      </c>
      <c r="B165">
        <v>0.1</v>
      </c>
      <c r="C165">
        <v>1</v>
      </c>
      <c r="D165">
        <v>3</v>
      </c>
      <c r="E165">
        <v>12</v>
      </c>
      <c r="F165">
        <f t="shared" si="34"/>
        <v>13</v>
      </c>
      <c r="G165">
        <f t="shared" si="35"/>
        <v>25292.944401223722</v>
      </c>
      <c r="H165" s="6">
        <f t="shared" si="36"/>
        <v>-0.29440122372034239</v>
      </c>
      <c r="I165" s="6">
        <f t="shared" si="37"/>
        <v>8.6672080528035086E-2</v>
      </c>
      <c r="J165" s="6"/>
      <c r="K165">
        <f t="shared" si="38"/>
        <v>25292.604985821054</v>
      </c>
      <c r="L165" s="6">
        <f t="shared" si="39"/>
        <v>4.5014178947894834E-2</v>
      </c>
      <c r="M165" s="6">
        <f t="shared" si="40"/>
        <v>2.0262763063530983E-3</v>
      </c>
      <c r="N165" s="6"/>
      <c r="O165">
        <f t="shared" si="41"/>
        <v>25292.848150938778</v>
      </c>
      <c r="P165" s="6">
        <f t="shared" si="42"/>
        <v>-0.19815093877696199</v>
      </c>
      <c r="Q165" s="6">
        <f t="shared" si="43"/>
        <v>3.9263794538191343E-2</v>
      </c>
      <c r="R165" s="6"/>
      <c r="S165">
        <f>2*(S$171-S$172*($D165+0.5)+S$173*($D165+0.5)^2)*$F165-4*$R182*$F165^3</f>
        <v>25292.637829672243</v>
      </c>
      <c r="T165" s="6">
        <f t="shared" si="45"/>
        <v>1.2170327758212807E-2</v>
      </c>
      <c r="U165" s="6">
        <f t="shared" si="46"/>
        <v>1.4811687774232517E-4</v>
      </c>
    </row>
    <row r="166" spans="1:21" x14ac:dyDescent="0.25">
      <c r="A166" s="6">
        <v>25377.33</v>
      </c>
      <c r="B166">
        <v>0.1</v>
      </c>
      <c r="C166">
        <v>1</v>
      </c>
      <c r="D166">
        <v>2</v>
      </c>
      <c r="E166">
        <v>12</v>
      </c>
      <c r="F166">
        <f t="shared" si="34"/>
        <v>13</v>
      </c>
      <c r="G166">
        <f t="shared" si="35"/>
        <v>25377.741625021659</v>
      </c>
      <c r="H166" s="6">
        <f t="shared" si="36"/>
        <v>-0.41162502165752812</v>
      </c>
      <c r="I166" s="6">
        <f t="shared" si="37"/>
        <v>0.1694351584545605</v>
      </c>
      <c r="J166" s="6"/>
      <c r="K166">
        <f t="shared" si="38"/>
        <v>25377.469101350143</v>
      </c>
      <c r="L166" s="6">
        <f t="shared" si="39"/>
        <v>-0.13910135014157277</v>
      </c>
      <c r="M166" s="6">
        <f t="shared" si="40"/>
        <v>1.9349185611208426E-2</v>
      </c>
      <c r="N166" s="6"/>
      <c r="O166">
        <f t="shared" si="41"/>
        <v>25377.592229172857</v>
      </c>
      <c r="P166" s="6">
        <f t="shared" si="42"/>
        <v>-0.26222917285485892</v>
      </c>
      <c r="Q166" s="6">
        <f t="shared" si="43"/>
        <v>6.876413909614347E-2</v>
      </c>
      <c r="R166" s="6"/>
      <c r="S166">
        <f>2*(S$171-S$172*($D166+0.5)+S$173*($D166+0.5)^2)*$F166-4*$R183*$F166^3</f>
        <v>25377.465268316912</v>
      </c>
      <c r="T166" s="6">
        <f t="shared" si="45"/>
        <v>-0.13526831690978725</v>
      </c>
      <c r="U166" s="6">
        <f t="shared" si="46"/>
        <v>1.8297517559606635E-2</v>
      </c>
    </row>
    <row r="167" spans="1:21" x14ac:dyDescent="0.25">
      <c r="A167" s="6">
        <v>25462.28</v>
      </c>
      <c r="B167">
        <v>0.1</v>
      </c>
      <c r="C167">
        <v>1</v>
      </c>
      <c r="D167">
        <v>1</v>
      </c>
      <c r="E167">
        <v>12</v>
      </c>
      <c r="F167">
        <f t="shared" si="34"/>
        <v>13</v>
      </c>
      <c r="G167">
        <f t="shared" si="35"/>
        <v>25462.538848819593</v>
      </c>
      <c r="H167" s="6">
        <f t="shared" si="36"/>
        <v>-0.2588488195942773</v>
      </c>
      <c r="I167" s="6">
        <f t="shared" si="37"/>
        <v>6.7002711405350718E-2</v>
      </c>
      <c r="J167" s="6"/>
      <c r="K167">
        <f t="shared" si="38"/>
        <v>25462.502785532546</v>
      </c>
      <c r="L167" s="6">
        <f t="shared" si="39"/>
        <v>-0.2227855325472774</v>
      </c>
      <c r="M167" s="6">
        <f t="shared" si="40"/>
        <v>4.9633393512373995E-2</v>
      </c>
      <c r="N167" s="6"/>
      <c r="O167">
        <f t="shared" si="41"/>
        <v>25462.336307406938</v>
      </c>
      <c r="P167" s="6">
        <f t="shared" si="42"/>
        <v>-5.6307406939595239E-2</v>
      </c>
      <c r="Q167" s="6">
        <f t="shared" si="43"/>
        <v>3.170524076261178E-3</v>
      </c>
      <c r="R167" s="6"/>
      <c r="S167">
        <f>2*(S$171-S$172*($D167+0.5)+S$173*($D167+0.5)^2)*$F167-4*$R184*$F167^3</f>
        <v>25462.432802205702</v>
      </c>
      <c r="T167" s="6">
        <f t="shared" si="45"/>
        <v>-0.1528022057027556</v>
      </c>
      <c r="U167" s="6">
        <f t="shared" si="46"/>
        <v>2.3348514067627234E-2</v>
      </c>
    </row>
    <row r="168" spans="1:21" x14ac:dyDescent="0.25">
      <c r="A168" s="6">
        <v>25547.52</v>
      </c>
      <c r="B168">
        <v>0.1</v>
      </c>
      <c r="C168">
        <v>1</v>
      </c>
      <c r="D168">
        <v>0</v>
      </c>
      <c r="E168">
        <v>12</v>
      </c>
      <c r="F168">
        <f t="shared" si="34"/>
        <v>13</v>
      </c>
      <c r="G168">
        <f t="shared" si="35"/>
        <v>25547.336072617531</v>
      </c>
      <c r="H168" s="6">
        <f t="shared" si="36"/>
        <v>0.18392738246984663</v>
      </c>
      <c r="I168" s="6">
        <f t="shared" si="37"/>
        <v>3.3829282022209244E-2</v>
      </c>
      <c r="J168" s="6"/>
      <c r="K168">
        <f t="shared" si="38"/>
        <v>25547.706038368269</v>
      </c>
      <c r="L168" s="6">
        <f t="shared" si="39"/>
        <v>-0.18603836826878251</v>
      </c>
      <c r="M168" s="6">
        <f t="shared" si="40"/>
        <v>3.4610274468111143E-2</v>
      </c>
      <c r="N168" s="6"/>
      <c r="O168">
        <f t="shared" si="41"/>
        <v>25547.08038564102</v>
      </c>
      <c r="P168" s="6">
        <f t="shared" si="42"/>
        <v>0.43961435898017953</v>
      </c>
      <c r="Q168" s="6">
        <f t="shared" si="43"/>
        <v>0.19326078462155416</v>
      </c>
      <c r="R168" s="6"/>
      <c r="S168">
        <f>2*(S$171-S$172*($D168+0.5)+S$173*($D168+0.5)^2)*$F168-4*$R185*$F168^3</f>
        <v>25547.540431338624</v>
      </c>
      <c r="T168" s="6">
        <f t="shared" si="45"/>
        <v>-2.043133862389368E-2</v>
      </c>
      <c r="U168" s="6">
        <f t="shared" si="46"/>
        <v>4.174395979642097E-4</v>
      </c>
    </row>
    <row r="169" spans="1:21" x14ac:dyDescent="0.25">
      <c r="I169" s="6">
        <f>SUM(I159:I168)</f>
        <v>1.0126738106371045</v>
      </c>
      <c r="J169" s="6"/>
      <c r="M169" s="6">
        <f>SUM(M159:M168)</f>
        <v>0.23749507148653587</v>
      </c>
      <c r="N169" s="6"/>
      <c r="P169" s="6"/>
      <c r="Q169" s="6">
        <f>SUM(Q159:Q168)</f>
        <v>0.64431504629299097</v>
      </c>
      <c r="R169" s="6"/>
      <c r="U169" s="6">
        <f>SUM(U159:U168)</f>
        <v>0.11255938921850267</v>
      </c>
    </row>
    <row r="170" spans="1:21" x14ac:dyDescent="0.25">
      <c r="A170" t="s">
        <v>54</v>
      </c>
    </row>
    <row r="171" spans="1:21" ht="18" x14ac:dyDescent="0.35">
      <c r="A171" t="s">
        <v>39</v>
      </c>
      <c r="G171">
        <v>984.22056478909599</v>
      </c>
      <c r="K171">
        <v>984.24504819350477</v>
      </c>
      <c r="O171">
        <v>984.30738925826222</v>
      </c>
      <c r="S171">
        <v>984.23641467775519</v>
      </c>
    </row>
    <row r="172" spans="1:21" ht="18" x14ac:dyDescent="0.35">
      <c r="A172" t="s">
        <v>40</v>
      </c>
      <c r="G172">
        <v>3.2614316845359541</v>
      </c>
      <c r="K172">
        <v>3.2835700572706874</v>
      </c>
      <c r="O172">
        <v>3.2593876243877085</v>
      </c>
      <c r="S172">
        <v>3.2787586298866458</v>
      </c>
    </row>
    <row r="173" spans="1:21" ht="18" x14ac:dyDescent="0.35">
      <c r="A173" s="7" t="s">
        <v>41</v>
      </c>
      <c r="K173">
        <v>3.2609356406922549E-3</v>
      </c>
      <c r="S173">
        <v>2.6941393101832601E-3</v>
      </c>
    </row>
    <row r="174" spans="1:21" ht="18" x14ac:dyDescent="0.35">
      <c r="A174" s="7" t="s">
        <v>53</v>
      </c>
      <c r="O174">
        <v>2.8899589858431612E-4</v>
      </c>
      <c r="S174">
        <v>-8.0842270854206694E-5</v>
      </c>
    </row>
    <row r="175" spans="1:21" x14ac:dyDescent="0.25">
      <c r="A175" s="7"/>
    </row>
    <row r="176" spans="1:21" s="8" customFormat="1" x14ac:dyDescent="0.25">
      <c r="A176" s="11" t="s">
        <v>70</v>
      </c>
    </row>
    <row r="177" spans="1:17" x14ac:dyDescent="0.25">
      <c r="A177" s="7"/>
    </row>
    <row r="178" spans="1:17" x14ac:dyDescent="0.25">
      <c r="A178" s="6">
        <v>25029.38</v>
      </c>
      <c r="B178">
        <v>0.1</v>
      </c>
      <c r="C178">
        <v>2</v>
      </c>
      <c r="D178">
        <v>2</v>
      </c>
      <c r="E178">
        <v>12</v>
      </c>
      <c r="F178">
        <f>E178+1</f>
        <v>13</v>
      </c>
      <c r="G178">
        <f>2*(G$183-G$184*(D178+0.5))*F178</f>
        <v>25029.428333333635</v>
      </c>
      <c r="H178" s="6">
        <f>$A178-G178</f>
        <v>-4.8333333634218434E-2</v>
      </c>
      <c r="I178" s="6">
        <f>H178^2</f>
        <v>2.3361111401966708E-3</v>
      </c>
      <c r="J178" s="6"/>
      <c r="K178">
        <f>2*(K$183-K$184*($D178+0.5)+K$185*($D178+0.5)^2)*$F178</f>
        <v>25029.38</v>
      </c>
      <c r="L178" s="6">
        <f>$A178-K178</f>
        <v>0</v>
      </c>
      <c r="M178" s="6">
        <f>L178^2</f>
        <v>0</v>
      </c>
      <c r="N178" s="6"/>
      <c r="P178" s="6"/>
      <c r="Q178" s="6"/>
    </row>
    <row r="179" spans="1:17" x14ac:dyDescent="0.25">
      <c r="A179" s="6">
        <v>25112.84</v>
      </c>
      <c r="B179">
        <v>0.1</v>
      </c>
      <c r="C179">
        <v>2</v>
      </c>
      <c r="D179">
        <v>1</v>
      </c>
      <c r="E179">
        <v>12</v>
      </c>
      <c r="F179">
        <f>E179+1</f>
        <v>13</v>
      </c>
      <c r="G179">
        <f t="shared" ref="G179:G180" si="47">2*(G$183-G$184*(D179+0.5))*F179</f>
        <v>25112.743333333634</v>
      </c>
      <c r="H179" s="6">
        <f t="shared" ref="H179:H180" si="48">$A179-G179</f>
        <v>9.6666666366218124E-2</v>
      </c>
      <c r="I179" s="6">
        <f t="shared" ref="I179:I180" si="49">H179^2</f>
        <v>9.3444443863577257E-3</v>
      </c>
      <c r="J179" s="6"/>
      <c r="K179">
        <f t="shared" ref="K179:K180" si="50">2*(K$183-K$184*($D179+0.5)+K$185*($D179+0.5)^2)*$F179</f>
        <v>25112.839999999997</v>
      </c>
      <c r="L179" s="6">
        <f t="shared" ref="L179:L180" si="51">$A179-K179</f>
        <v>0</v>
      </c>
      <c r="M179" s="6">
        <f t="shared" ref="M179:M180" si="52">L179^2</f>
        <v>0</v>
      </c>
      <c r="N179" s="6"/>
      <c r="P179" s="6"/>
      <c r="Q179" s="6"/>
    </row>
    <row r="180" spans="1:17" x14ac:dyDescent="0.25">
      <c r="A180" s="6">
        <v>25196.01</v>
      </c>
      <c r="B180">
        <v>0.1</v>
      </c>
      <c r="C180">
        <v>2</v>
      </c>
      <c r="D180">
        <v>0</v>
      </c>
      <c r="E180">
        <v>12</v>
      </c>
      <c r="F180">
        <f>E180+1</f>
        <v>13</v>
      </c>
      <c r="G180">
        <f t="shared" si="47"/>
        <v>25196.058333333633</v>
      </c>
      <c r="H180" s="6">
        <f t="shared" si="48"/>
        <v>-4.8333333634218434E-2</v>
      </c>
      <c r="I180" s="6">
        <f t="shared" si="49"/>
        <v>2.3361111401966708E-3</v>
      </c>
      <c r="J180" s="6"/>
      <c r="K180">
        <f t="shared" si="50"/>
        <v>25196.010000000002</v>
      </c>
      <c r="L180" s="6">
        <f t="shared" si="51"/>
        <v>0</v>
      </c>
      <c r="M180" s="6">
        <f t="shared" si="52"/>
        <v>0</v>
      </c>
      <c r="N180" s="6"/>
      <c r="P180" s="6"/>
      <c r="Q180" s="6"/>
    </row>
    <row r="181" spans="1:17" x14ac:dyDescent="0.25">
      <c r="I181" s="6">
        <f>SUM(I178:I180)</f>
        <v>1.4016666666751066E-2</v>
      </c>
      <c r="J181" s="6"/>
      <c r="M181" s="6">
        <f>SUM(M178:M180)</f>
        <v>0</v>
      </c>
      <c r="N181" s="6"/>
      <c r="Q181" s="6"/>
    </row>
    <row r="182" spans="1:17" x14ac:dyDescent="0.25">
      <c r="A182" t="s">
        <v>54</v>
      </c>
    </row>
    <row r="183" spans="1:17" ht="18" x14ac:dyDescent="0.35">
      <c r="A183" t="s">
        <v>39</v>
      </c>
      <c r="G183">
        <v>970.68137820513959</v>
      </c>
      <c r="K183">
        <v>970.67254807692325</v>
      </c>
    </row>
    <row r="184" spans="1:17" ht="18" x14ac:dyDescent="0.35">
      <c r="A184" t="s">
        <v>40</v>
      </c>
      <c r="G184">
        <v>3.2044230769230335</v>
      </c>
      <c r="K184">
        <v>3.1876923076926142</v>
      </c>
    </row>
    <row r="185" spans="1:17" ht="18" x14ac:dyDescent="0.35">
      <c r="A185" s="7" t="s">
        <v>41</v>
      </c>
      <c r="K185">
        <v>-5.5769230768167753E-3</v>
      </c>
    </row>
    <row r="186" spans="1:17" ht="18" x14ac:dyDescent="0.35">
      <c r="A186" s="7" t="s">
        <v>53</v>
      </c>
    </row>
    <row r="187" spans="1:17" ht="18" x14ac:dyDescent="0.35">
      <c r="A187" s="7"/>
    </row>
    <row r="188" spans="1:17" s="8" customFormat="1" x14ac:dyDescent="0.25">
      <c r="A188" s="11" t="s">
        <v>71</v>
      </c>
    </row>
    <row r="189" spans="1:17" x14ac:dyDescent="0.25">
      <c r="A189" s="7"/>
    </row>
    <row r="190" spans="1:17" x14ac:dyDescent="0.25">
      <c r="A190" s="7" t="s">
        <v>58</v>
      </c>
      <c r="G190">
        <f>B9/B8</f>
        <v>1.0139616434635172</v>
      </c>
      <c r="K190">
        <v>1.0139616434635172</v>
      </c>
    </row>
    <row r="191" spans="1:17" ht="18" x14ac:dyDescent="0.35">
      <c r="A191" s="7" t="s">
        <v>59</v>
      </c>
      <c r="G191">
        <f>G171/G183</f>
        <v>1.013948126427429</v>
      </c>
      <c r="K191">
        <f>K171/K183</f>
        <v>1.0139825733646954</v>
      </c>
    </row>
  </sheetData>
  <sortState ref="A14:B26">
    <sortCondition ref="A14:A26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2023-01-31T05:03:47Z</dcterms:modified>
</cp:coreProperties>
</file>